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ate1904="1" filterPrivacy="1" defaultThemeVersion="124226"/>
  <bookViews>
    <workbookView xWindow="120" yWindow="105" windowWidth="15120" windowHeight="7395"/>
  </bookViews>
  <sheets>
    <sheet name="Лист2" sheetId="2" r:id="rId1"/>
  </sheets>
  <definedNames>
    <definedName name="процедура">#REF!</definedName>
  </definedNames>
  <calcPr calcId="145621"/>
</workbook>
</file>

<file path=xl/calcChain.xml><?xml version="1.0" encoding="utf-8"?>
<calcChain xmlns="http://schemas.openxmlformats.org/spreadsheetml/2006/main">
  <c r="AT115" i="2" l="1"/>
  <c r="AT100" i="2"/>
  <c r="AT117" i="2"/>
  <c r="AT102" i="2"/>
  <c r="AU122" i="2"/>
  <c r="AT112" i="2"/>
  <c r="AT113" i="2" s="1"/>
  <c r="AT116" i="2" s="1"/>
  <c r="AU107" i="2"/>
  <c r="AT118" i="2" l="1"/>
  <c r="AU118" i="2" s="1"/>
  <c r="AT121" i="2"/>
  <c r="BE13" i="2"/>
  <c r="BD6" i="2" s="1"/>
  <c r="BD8" i="2"/>
  <c r="BD3" i="2"/>
  <c r="BD4" i="2" s="1"/>
  <c r="BD7" i="2" s="1"/>
  <c r="AH57" i="2"/>
  <c r="AI64" i="2"/>
  <c r="AH59" i="2"/>
  <c r="AY13" i="2"/>
  <c r="AX6" i="2" s="1"/>
  <c r="AX8" i="2"/>
  <c r="AX3" i="2"/>
  <c r="AX4" i="2" s="1"/>
  <c r="AX7" i="2" s="1"/>
  <c r="AS13" i="2"/>
  <c r="AR8" i="2"/>
  <c r="AR6" i="2"/>
  <c r="AR3" i="2"/>
  <c r="AR4" i="2" s="1"/>
  <c r="AR7" i="2" s="1"/>
  <c r="AM13" i="2"/>
  <c r="AL6" i="2" s="1"/>
  <c r="AL8" i="2"/>
  <c r="AL3" i="2"/>
  <c r="AL4" i="2" s="1"/>
  <c r="AL7" i="2" s="1"/>
  <c r="AG13" i="2"/>
  <c r="AF6" i="2" s="1"/>
  <c r="AF8" i="2"/>
  <c r="AF3" i="2"/>
  <c r="AF4" i="2" s="1"/>
  <c r="AF7" i="2" s="1"/>
  <c r="AA13" i="2"/>
  <c r="Z8" i="2"/>
  <c r="A21" i="2"/>
  <c r="AV118" i="2" l="1"/>
  <c r="AV121" i="2" s="1"/>
  <c r="AV117" i="2"/>
  <c r="AU121" i="2" s="1"/>
  <c r="BD9" i="2"/>
  <c r="BE9" i="2" s="1"/>
  <c r="BF9" i="2" s="1"/>
  <c r="BF12" i="2" s="1"/>
  <c r="BD12" i="2"/>
  <c r="AX9" i="2"/>
  <c r="AX12" i="2"/>
  <c r="AY9" i="2"/>
  <c r="AZ9" i="2" s="1"/>
  <c r="AZ12" i="2" s="1"/>
  <c r="AR9" i="2"/>
  <c r="AS9" i="2"/>
  <c r="AT9" i="2" s="1"/>
  <c r="AT12" i="2" s="1"/>
  <c r="AT8" i="2"/>
  <c r="AS12" i="2" s="1"/>
  <c r="AR12" i="2"/>
  <c r="AL9" i="2"/>
  <c r="AM9" i="2"/>
  <c r="AN9" i="2" s="1"/>
  <c r="AN12" i="2" s="1"/>
  <c r="AN8" i="2"/>
  <c r="AM12" i="2" s="1"/>
  <c r="AL12" i="2"/>
  <c r="AF9" i="2"/>
  <c r="AG9" i="2"/>
  <c r="AH9" i="2" s="1"/>
  <c r="AH12" i="2" s="1"/>
  <c r="AH8" i="2"/>
  <c r="AG12" i="2" s="1"/>
  <c r="AF12" i="2"/>
  <c r="AH146" i="2"/>
  <c r="AH144" i="2"/>
  <c r="AH141" i="2"/>
  <c r="AH142" i="2" s="1"/>
  <c r="AH145" i="2" s="1"/>
  <c r="V146" i="2"/>
  <c r="V144" i="2"/>
  <c r="V141" i="2"/>
  <c r="V142" i="2" s="1"/>
  <c r="V145" i="2" s="1"/>
  <c r="AB146" i="2"/>
  <c r="AB144" i="2"/>
  <c r="AB147" i="2" s="1"/>
  <c r="AB141" i="2"/>
  <c r="AB142" i="2" s="1"/>
  <c r="AB145" i="2" s="1"/>
  <c r="I132" i="2"/>
  <c r="I130" i="2"/>
  <c r="I127" i="2"/>
  <c r="I128" i="2" s="1"/>
  <c r="I131" i="2" s="1"/>
  <c r="Z6" i="2"/>
  <c r="Z3" i="2"/>
  <c r="Z4" i="2" s="1"/>
  <c r="Z7" i="2" s="1"/>
  <c r="D138" i="2"/>
  <c r="C127" i="2"/>
  <c r="C128" i="2" s="1"/>
  <c r="C131" i="2" s="1"/>
  <c r="D137" i="2"/>
  <c r="C130" i="2" s="1"/>
  <c r="C132" i="2"/>
  <c r="W136" i="2"/>
  <c r="V129" i="2" s="1"/>
  <c r="V131" i="2"/>
  <c r="V126" i="2"/>
  <c r="V127" i="2" s="1"/>
  <c r="V130" i="2" s="1"/>
  <c r="AB131" i="2"/>
  <c r="I109" i="2"/>
  <c r="C108" i="2"/>
  <c r="AB129" i="2"/>
  <c r="AB126" i="2"/>
  <c r="AB127" i="2" s="1"/>
  <c r="AB130" i="2" s="1"/>
  <c r="C110" i="2"/>
  <c r="C105" i="2"/>
  <c r="C106" i="2" s="1"/>
  <c r="C109" i="2" s="1"/>
  <c r="V4" i="2"/>
  <c r="BF8" i="2" l="1"/>
  <c r="BE12" i="2" s="1"/>
  <c r="AZ8" i="2"/>
  <c r="AY12" i="2" s="1"/>
  <c r="AH147" i="2"/>
  <c r="AI147" i="2"/>
  <c r="AJ147" i="2" s="1"/>
  <c r="AJ150" i="2" s="1"/>
  <c r="AJ146" i="2"/>
  <c r="AI150" i="2" s="1"/>
  <c r="AH150" i="2"/>
  <c r="V147" i="2"/>
  <c r="W147" i="2" s="1"/>
  <c r="V150" i="2"/>
  <c r="AC147" i="2"/>
  <c r="AD147" i="2" s="1"/>
  <c r="AD150" i="2" s="1"/>
  <c r="AD146" i="2"/>
  <c r="AC150" i="2" s="1"/>
  <c r="AB150" i="2"/>
  <c r="I133" i="2"/>
  <c r="J133" i="2" s="1"/>
  <c r="I136" i="2"/>
  <c r="Z9" i="2"/>
  <c r="AA9" i="2" s="1"/>
  <c r="Z12" i="2"/>
  <c r="C133" i="2"/>
  <c r="D133" i="2" s="1"/>
  <c r="C136" i="2"/>
  <c r="V132" i="2"/>
  <c r="W132" i="2" s="1"/>
  <c r="V135" i="2"/>
  <c r="AB132" i="2"/>
  <c r="AC132" i="2" s="1"/>
  <c r="AB135" i="2"/>
  <c r="C111" i="2"/>
  <c r="D111" i="2" s="1"/>
  <c r="E111" i="2" s="1"/>
  <c r="E114" i="2" s="1"/>
  <c r="C114" i="2"/>
  <c r="AT87" i="2"/>
  <c r="AT85" i="2"/>
  <c r="AT82" i="2"/>
  <c r="AT83" i="2" s="1"/>
  <c r="AT86" i="2" s="1"/>
  <c r="AH102" i="2"/>
  <c r="AH100" i="2"/>
  <c r="AH97" i="2"/>
  <c r="AH98" i="2" s="1"/>
  <c r="AH101" i="2" s="1"/>
  <c r="H122" i="2"/>
  <c r="I107" i="2"/>
  <c r="AH127" i="2"/>
  <c r="AH129" i="2" s="1"/>
  <c r="AI127" i="2"/>
  <c r="AI129" i="2" s="1"/>
  <c r="AG127" i="2"/>
  <c r="AG129" i="2" s="1"/>
  <c r="AI121" i="2"/>
  <c r="AH116" i="2"/>
  <c r="AH114" i="2"/>
  <c r="AH111" i="2"/>
  <c r="AH112" i="2" s="1"/>
  <c r="AH115" i="2" s="1"/>
  <c r="AC121" i="2"/>
  <c r="AB114" i="2" s="1"/>
  <c r="AB116" i="2"/>
  <c r="AB111" i="2"/>
  <c r="AB112" i="2" s="1"/>
  <c r="AB115" i="2" s="1"/>
  <c r="X147" i="2" l="1"/>
  <c r="X150" i="2" s="1"/>
  <c r="X146" i="2"/>
  <c r="W150" i="2" s="1"/>
  <c r="K133" i="2"/>
  <c r="K136" i="2" s="1"/>
  <c r="K132" i="2"/>
  <c r="J136" i="2" s="1"/>
  <c r="E133" i="2"/>
  <c r="E136" i="2" s="1"/>
  <c r="E132" i="2"/>
  <c r="D136" i="2" s="1"/>
  <c r="AB9" i="2"/>
  <c r="AB12" i="2" s="1"/>
  <c r="AB8" i="2"/>
  <c r="AA12" i="2" s="1"/>
  <c r="X132" i="2"/>
  <c r="X135" i="2" s="1"/>
  <c r="X131" i="2"/>
  <c r="W135" i="2" s="1"/>
  <c r="AD132" i="2"/>
  <c r="AD135" i="2" s="1"/>
  <c r="AD131" i="2"/>
  <c r="AC135" i="2" s="1"/>
  <c r="E110" i="2"/>
  <c r="D114" i="2" s="1"/>
  <c r="AT88" i="2"/>
  <c r="AU88" i="2" s="1"/>
  <c r="AT91" i="2"/>
  <c r="AH103" i="2"/>
  <c r="AI103" i="2" s="1"/>
  <c r="AH106" i="2"/>
  <c r="AH117" i="2"/>
  <c r="AI117" i="2" s="1"/>
  <c r="AH120" i="2"/>
  <c r="AB117" i="2"/>
  <c r="AB120" i="2"/>
  <c r="AC117" i="2"/>
  <c r="AD117" i="2" s="1"/>
  <c r="AD120" i="2" s="1"/>
  <c r="AD116" i="2"/>
  <c r="AC120" i="2" s="1"/>
  <c r="R103" i="2"/>
  <c r="R102" i="2"/>
  <c r="O121" i="2"/>
  <c r="P121" i="2"/>
  <c r="Q121" i="2"/>
  <c r="N121" i="2"/>
  <c r="P114" i="2"/>
  <c r="O107" i="2" s="1"/>
  <c r="O109" i="2"/>
  <c r="O104" i="2"/>
  <c r="O105" i="2" s="1"/>
  <c r="O108" i="2" s="1"/>
  <c r="V116" i="2"/>
  <c r="V114" i="2"/>
  <c r="V111" i="2"/>
  <c r="V112" i="2" s="1"/>
  <c r="V115" i="2" s="1"/>
  <c r="O94" i="2"/>
  <c r="I79" i="2"/>
  <c r="I77" i="2"/>
  <c r="P99" i="2"/>
  <c r="O92" i="2" s="1"/>
  <c r="O89" i="2"/>
  <c r="O90" i="2" s="1"/>
  <c r="O93" i="2" s="1"/>
  <c r="I94" i="2"/>
  <c r="I92" i="2"/>
  <c r="I89" i="2"/>
  <c r="I90" i="2" s="1"/>
  <c r="I93" i="2" s="1"/>
  <c r="AV88" i="2" l="1"/>
  <c r="AV91" i="2" s="1"/>
  <c r="AV87" i="2"/>
  <c r="AU91" i="2" s="1"/>
  <c r="AJ103" i="2"/>
  <c r="AJ106" i="2" s="1"/>
  <c r="AJ102" i="2"/>
  <c r="AI106" i="2" s="1"/>
  <c r="AJ117" i="2"/>
  <c r="AJ120" i="2" s="1"/>
  <c r="AJ116" i="2"/>
  <c r="AI120" i="2" s="1"/>
  <c r="O110" i="2"/>
  <c r="P110" i="2" s="1"/>
  <c r="Q110" i="2" s="1"/>
  <c r="Q113" i="2" s="1"/>
  <c r="O113" i="2"/>
  <c r="V117" i="2"/>
  <c r="W117" i="2"/>
  <c r="X117" i="2" s="1"/>
  <c r="X120" i="2" s="1"/>
  <c r="X116" i="2"/>
  <c r="W120" i="2" s="1"/>
  <c r="V120" i="2"/>
  <c r="O95" i="2"/>
  <c r="P95" i="2"/>
  <c r="Q95" i="2" s="1"/>
  <c r="Q98" i="2" s="1"/>
  <c r="O98" i="2"/>
  <c r="I95" i="2"/>
  <c r="J95" i="2"/>
  <c r="K95" i="2" s="1"/>
  <c r="K98" i="2" s="1"/>
  <c r="I98" i="2"/>
  <c r="O62" i="2"/>
  <c r="Q109" i="2" l="1"/>
  <c r="P113" i="2" s="1"/>
  <c r="Q94" i="2"/>
  <c r="P98" i="2" s="1"/>
  <c r="K94" i="2"/>
  <c r="J98" i="2" s="1"/>
  <c r="C94" i="2"/>
  <c r="C92" i="2"/>
  <c r="V59" i="2"/>
  <c r="V57" i="2"/>
  <c r="P50" i="2"/>
  <c r="O43" i="2" s="1"/>
  <c r="O45" i="2"/>
  <c r="O40" i="2"/>
  <c r="O41" i="2" s="1"/>
  <c r="O44" i="2" s="1"/>
  <c r="AH73" i="2"/>
  <c r="AH71" i="2"/>
  <c r="O64" i="2"/>
  <c r="O59" i="2"/>
  <c r="O60" i="2" s="1"/>
  <c r="O63" i="2" s="1"/>
  <c r="C77" i="2"/>
  <c r="C79" i="2"/>
  <c r="AN100" i="2"/>
  <c r="AO107" i="2"/>
  <c r="AN102" i="2"/>
  <c r="AN72" i="2"/>
  <c r="AN74" i="2"/>
  <c r="AN69" i="2"/>
  <c r="AN70" i="2" s="1"/>
  <c r="AN73" i="2" s="1"/>
  <c r="AB73" i="2"/>
  <c r="AB71" i="2"/>
  <c r="AB68" i="2"/>
  <c r="AB69" i="2" s="1"/>
  <c r="AB72" i="2" s="1"/>
  <c r="O46" i="2" l="1"/>
  <c r="O49" i="2"/>
  <c r="P46" i="2"/>
  <c r="Q46" i="2" s="1"/>
  <c r="Q49" i="2" s="1"/>
  <c r="Q45" i="2"/>
  <c r="P49" i="2" s="1"/>
  <c r="O65" i="2"/>
  <c r="P65" i="2" s="1"/>
  <c r="Q65" i="2" s="1"/>
  <c r="Q68" i="2" s="1"/>
  <c r="O68" i="2"/>
  <c r="AN75" i="2"/>
  <c r="AO75" i="2" s="1"/>
  <c r="AN78" i="2"/>
  <c r="AB74" i="2"/>
  <c r="AC74" i="2"/>
  <c r="AD74" i="2" s="1"/>
  <c r="AD77" i="2" s="1"/>
  <c r="AB77" i="2"/>
  <c r="J84" i="2"/>
  <c r="O77" i="2"/>
  <c r="O79" i="2"/>
  <c r="O74" i="2"/>
  <c r="O75" i="2" s="1"/>
  <c r="O78" i="2" s="1"/>
  <c r="I64" i="2"/>
  <c r="I62" i="2"/>
  <c r="D84" i="2"/>
  <c r="C62" i="2"/>
  <c r="C74" i="2"/>
  <c r="C75" i="2" s="1"/>
  <c r="C78" i="2" s="1"/>
  <c r="C64" i="2"/>
  <c r="Q64" i="2" l="1"/>
  <c r="P68" i="2" s="1"/>
  <c r="AP75" i="2"/>
  <c r="AP78" i="2" s="1"/>
  <c r="AP74" i="2"/>
  <c r="AO78" i="2" s="1"/>
  <c r="AD73" i="2"/>
  <c r="AC77" i="2" s="1"/>
  <c r="O80" i="2"/>
  <c r="P80" i="2" s="1"/>
  <c r="Q80" i="2" s="1"/>
  <c r="Q83" i="2" s="1"/>
  <c r="O83" i="2"/>
  <c r="C80" i="2"/>
  <c r="D80" i="2" s="1"/>
  <c r="C83" i="2"/>
  <c r="R2" i="2"/>
  <c r="R3" i="2"/>
  <c r="R4" i="2"/>
  <c r="R5" i="2"/>
  <c r="R6" i="2"/>
  <c r="R7" i="2"/>
  <c r="R8" i="2"/>
  <c r="R9" i="2"/>
  <c r="R10" i="2"/>
  <c r="R1" i="2"/>
  <c r="P2" i="2"/>
  <c r="P3" i="2"/>
  <c r="P4" i="2"/>
  <c r="P5" i="2"/>
  <c r="P6" i="2"/>
  <c r="P7" i="2"/>
  <c r="P8" i="2"/>
  <c r="P9" i="2"/>
  <c r="P10" i="2"/>
  <c r="P1" i="2"/>
  <c r="N2" i="2"/>
  <c r="N3" i="2"/>
  <c r="N4" i="2"/>
  <c r="N5" i="2"/>
  <c r="N6" i="2"/>
  <c r="N7" i="2"/>
  <c r="N8" i="2"/>
  <c r="N9" i="2"/>
  <c r="N10" i="2"/>
  <c r="N1" i="2"/>
  <c r="L2" i="2"/>
  <c r="L3" i="2"/>
  <c r="L4" i="2"/>
  <c r="L5" i="2"/>
  <c r="L6" i="2"/>
  <c r="L7" i="2"/>
  <c r="L8" i="2"/>
  <c r="L9" i="2"/>
  <c r="L10" i="2"/>
  <c r="L1" i="2"/>
  <c r="J2" i="2"/>
  <c r="J3" i="2"/>
  <c r="J4" i="2"/>
  <c r="J5" i="2"/>
  <c r="J6" i="2"/>
  <c r="J7" i="2"/>
  <c r="J8" i="2"/>
  <c r="J9" i="2"/>
  <c r="J10" i="2"/>
  <c r="J1" i="2"/>
  <c r="H2" i="2"/>
  <c r="H3" i="2"/>
  <c r="H4" i="2"/>
  <c r="H5" i="2"/>
  <c r="H6" i="2"/>
  <c r="H7" i="2"/>
  <c r="H8" i="2"/>
  <c r="H9" i="2"/>
  <c r="H10" i="2"/>
  <c r="H1" i="2"/>
  <c r="C45" i="2"/>
  <c r="I45" i="2"/>
  <c r="AB102" i="2"/>
  <c r="A1" i="2"/>
  <c r="A2" i="2"/>
  <c r="I43" i="2" s="1"/>
  <c r="A3" i="2"/>
  <c r="A4" i="2"/>
  <c r="AB100" i="2" s="1"/>
  <c r="AB97" i="2"/>
  <c r="AB98" i="2" s="1"/>
  <c r="AB101" i="2" s="1"/>
  <c r="E80" i="2" l="1"/>
  <c r="E83" i="2" s="1"/>
  <c r="E79" i="2"/>
  <c r="D83" i="2" s="1"/>
  <c r="Q79" i="2"/>
  <c r="P83" i="2" s="1"/>
  <c r="C43" i="2"/>
  <c r="AB103" i="2"/>
  <c r="AC103" i="2" s="1"/>
  <c r="AB106" i="2"/>
  <c r="AD103" i="2" l="1"/>
  <c r="AD106" i="2" s="1"/>
  <c r="AD102" i="2"/>
  <c r="AC106" i="2" s="1"/>
  <c r="J14" i="2"/>
  <c r="K14" i="2"/>
  <c r="L14" i="2"/>
  <c r="M14" i="2"/>
  <c r="N14" i="2"/>
  <c r="O14" i="2"/>
  <c r="P14" i="2"/>
  <c r="Q14" i="2"/>
  <c r="R14" i="2"/>
  <c r="A11" i="2"/>
  <c r="AH54" i="2" l="1"/>
  <c r="AH55" i="2" s="1"/>
  <c r="AH58" i="2" s="1"/>
  <c r="BE120" i="2"/>
  <c r="AB59" i="2" l="1"/>
  <c r="AH45" i="2"/>
  <c r="V88" i="2"/>
  <c r="AH60" i="2"/>
  <c r="AI60" i="2" s="1"/>
  <c r="AH88" i="2"/>
  <c r="AN88" i="2"/>
  <c r="V73" i="2"/>
  <c r="V102" i="2"/>
  <c r="AB88" i="2"/>
  <c r="AN112" i="2"/>
  <c r="AO112" i="2"/>
  <c r="AM112" i="2"/>
  <c r="AN97" i="2"/>
  <c r="AN98" i="2" s="1"/>
  <c r="AN101" i="2" s="1"/>
  <c r="AT97" i="2"/>
  <c r="AT98" i="2" s="1"/>
  <c r="AT101" i="2" s="1"/>
  <c r="AN103" i="2" l="1"/>
  <c r="AT103" i="2"/>
  <c r="AU103" i="2" s="1"/>
  <c r="AV103" i="2" s="1"/>
  <c r="AV106" i="2" s="1"/>
  <c r="AN106" i="2"/>
  <c r="AH63" i="2"/>
  <c r="AT106" i="2"/>
  <c r="AJ60" i="2"/>
  <c r="AJ63" i="2" s="1"/>
  <c r="AJ59" i="2"/>
  <c r="AI63" i="2" s="1"/>
  <c r="AO103" i="2"/>
  <c r="AP103" i="2" s="1"/>
  <c r="AP106" i="2" s="1"/>
  <c r="I119" i="2"/>
  <c r="J119" i="2"/>
  <c r="K119" i="2"/>
  <c r="H119" i="2"/>
  <c r="AP102" i="2" l="1"/>
  <c r="AO106" i="2" s="1"/>
  <c r="AV102" i="2"/>
  <c r="AU106" i="2" s="1"/>
  <c r="I46" i="2"/>
  <c r="I40" i="2"/>
  <c r="I41" i="2" s="1"/>
  <c r="I44" i="2" s="1"/>
  <c r="I49" i="2" s="1"/>
  <c r="J46" i="2" l="1"/>
  <c r="K46" i="2" s="1"/>
  <c r="K49" i="2" s="1"/>
  <c r="K45" i="2" l="1"/>
  <c r="J49" i="2" s="1"/>
  <c r="I110" i="2" l="1"/>
  <c r="I104" i="2"/>
  <c r="I105" i="2" s="1"/>
  <c r="I108" i="2" s="1"/>
  <c r="I113" i="2" s="1"/>
  <c r="J110" i="2" l="1"/>
  <c r="K110" i="2" s="1"/>
  <c r="K113" i="2" s="1"/>
  <c r="K109" i="2"/>
  <c r="J113" i="2" s="1"/>
  <c r="E54" i="2"/>
  <c r="D54" i="2"/>
  <c r="C54" i="2"/>
  <c r="B51" i="2" s="1"/>
  <c r="C46" i="2"/>
  <c r="C40" i="2"/>
  <c r="C41" i="2" s="1"/>
  <c r="C44" i="2" s="1"/>
  <c r="C49" i="2" s="1"/>
  <c r="V100" i="2"/>
  <c r="V103" i="2" s="1"/>
  <c r="V97" i="2"/>
  <c r="V98" i="2" s="1"/>
  <c r="V101" i="2" s="1"/>
  <c r="V106" i="2" s="1"/>
  <c r="D46" i="2" l="1"/>
  <c r="E46" i="2" s="1"/>
  <c r="E49" i="2" s="1"/>
  <c r="E45" i="2"/>
  <c r="D49" i="2" s="1"/>
  <c r="W103" i="2"/>
  <c r="X103" i="2" s="1"/>
  <c r="X106" i="2" s="1"/>
  <c r="V86" i="2"/>
  <c r="AB86" i="2"/>
  <c r="AB89" i="2" s="1"/>
  <c r="AH86" i="2"/>
  <c r="AH89" i="2" s="1"/>
  <c r="AN86" i="2"/>
  <c r="AN89" i="2" s="1"/>
  <c r="I65" i="2"/>
  <c r="I59" i="2"/>
  <c r="I60" i="2" s="1"/>
  <c r="I63" i="2" s="1"/>
  <c r="I68" i="2" s="1"/>
  <c r="AN83" i="2"/>
  <c r="AN84" i="2" s="1"/>
  <c r="AN87" i="2" s="1"/>
  <c r="AN92" i="2" s="1"/>
  <c r="AH83" i="2"/>
  <c r="AH84" i="2" s="1"/>
  <c r="AH87" i="2" s="1"/>
  <c r="AH92" i="2" s="1"/>
  <c r="AB83" i="2"/>
  <c r="AB84" i="2" s="1"/>
  <c r="AB87" i="2" s="1"/>
  <c r="AB92" i="2" s="1"/>
  <c r="X102" i="2" l="1"/>
  <c r="W106" i="2" s="1"/>
  <c r="J65" i="2"/>
  <c r="K65" i="2" s="1"/>
  <c r="K68" i="2" s="1"/>
  <c r="AO89" i="2"/>
  <c r="AP89" i="2" s="1"/>
  <c r="AP92" i="2" s="1"/>
  <c r="AP88" i="2"/>
  <c r="AO92" i="2" s="1"/>
  <c r="AI89" i="2"/>
  <c r="AJ89" i="2" s="1"/>
  <c r="AJ92" i="2" s="1"/>
  <c r="AC89" i="2"/>
  <c r="AD89" i="2" s="1"/>
  <c r="AD92" i="2" s="1"/>
  <c r="C59" i="2"/>
  <c r="C60" i="2" s="1"/>
  <c r="C63" i="2" s="1"/>
  <c r="C68" i="2" s="1"/>
  <c r="C65" i="2"/>
  <c r="AD88" i="2" l="1"/>
  <c r="AC92" i="2" s="1"/>
  <c r="K64" i="2"/>
  <c r="J68" i="2" s="1"/>
  <c r="AJ88" i="2"/>
  <c r="AI92" i="2" s="1"/>
  <c r="D65" i="2"/>
  <c r="E65" i="2" s="1"/>
  <c r="E68" i="2" s="1"/>
  <c r="E64" i="2" l="1"/>
  <c r="D68" i="2" s="1"/>
  <c r="AH74" i="2" l="1"/>
  <c r="AH68" i="2"/>
  <c r="AH69" i="2" s="1"/>
  <c r="AH72" i="2" s="1"/>
  <c r="AH77" i="2" s="1"/>
  <c r="AI74" i="2" l="1"/>
  <c r="AJ74" i="2" s="1"/>
  <c r="AJ77" i="2" s="1"/>
  <c r="AJ73" i="2"/>
  <c r="AI77" i="2" s="1"/>
  <c r="C89" i="2" l="1"/>
  <c r="C90" i="2" s="1"/>
  <c r="C93" i="2" s="1"/>
  <c r="C98" i="2" s="1"/>
  <c r="C95" i="2"/>
  <c r="D95" i="2" l="1"/>
  <c r="E95" i="2" s="1"/>
  <c r="E98" i="2" s="1"/>
  <c r="V71" i="2"/>
  <c r="E94" i="2" l="1"/>
  <c r="D98" i="2" s="1"/>
  <c r="V74" i="2"/>
  <c r="V43" i="2"/>
  <c r="V68" i="2"/>
  <c r="V69" i="2" s="1"/>
  <c r="V72" i="2" l="1"/>
  <c r="V77" i="2" s="1"/>
  <c r="W74" i="2"/>
  <c r="X74" i="2" s="1"/>
  <c r="X77" i="2" s="1"/>
  <c r="AB57" i="2"/>
  <c r="AB60" i="2" s="1"/>
  <c r="AB54" i="2"/>
  <c r="AB55" i="2" s="1"/>
  <c r="AB58" i="2" s="1"/>
  <c r="AB63" i="2" s="1"/>
  <c r="X73" i="2" l="1"/>
  <c r="W77" i="2" s="1"/>
  <c r="AC60" i="2"/>
  <c r="AD60" i="2" s="1"/>
  <c r="AD63" i="2" s="1"/>
  <c r="AD59" i="2" l="1"/>
  <c r="AC63" i="2" s="1"/>
  <c r="V60" i="2" l="1"/>
  <c r="V54" i="2"/>
  <c r="V55" i="2" s="1"/>
  <c r="V89" i="2"/>
  <c r="V83" i="2"/>
  <c r="V84" i="2" s="1"/>
  <c r="V87" i="2" s="1"/>
  <c r="V92" i="2" s="1"/>
  <c r="I74" i="2"/>
  <c r="I75" i="2" s="1"/>
  <c r="I78" i="2" s="1"/>
  <c r="I83" i="2" s="1"/>
  <c r="I80" i="2"/>
  <c r="J80" i="2" s="1"/>
  <c r="K80" i="2" s="1"/>
  <c r="V40" i="2"/>
  <c r="V41" i="2" s="1"/>
  <c r="V44" i="2" s="1"/>
  <c r="V49" i="2" s="1"/>
  <c r="V46" i="2"/>
  <c r="W46" i="2" s="1"/>
  <c r="X46" i="2" s="1"/>
  <c r="AB46" i="2"/>
  <c r="AB41" i="2"/>
  <c r="AB44" i="2" s="1"/>
  <c r="AB49" i="2" s="1"/>
  <c r="V58" i="2" l="1"/>
  <c r="V63" i="2" s="1"/>
  <c r="W60" i="2"/>
  <c r="X60" i="2" s="1"/>
  <c r="W89" i="2"/>
  <c r="X89" i="2" s="1"/>
  <c r="X92" i="2" s="1"/>
  <c r="K83" i="2"/>
  <c r="K79" i="2"/>
  <c r="J83" i="2" s="1"/>
  <c r="X49" i="2"/>
  <c r="X45" i="2"/>
  <c r="W49" i="2" s="1"/>
  <c r="AC46" i="2"/>
  <c r="AD46" i="2" s="1"/>
  <c r="AD49" i="2" s="1"/>
  <c r="AH43" i="2"/>
  <c r="AH46" i="2" s="1"/>
  <c r="AH40" i="2"/>
  <c r="AH41" i="2" s="1"/>
  <c r="AH44" i="2" s="1"/>
  <c r="AD45" i="2" l="1"/>
  <c r="AC49" i="2" s="1"/>
  <c r="X63" i="2"/>
  <c r="X59" i="2"/>
  <c r="W63" i="2" s="1"/>
  <c r="X88" i="2"/>
  <c r="W92" i="2" s="1"/>
  <c r="AH49" i="2"/>
  <c r="AI46" i="2"/>
  <c r="AJ46" i="2" s="1"/>
  <c r="AJ49" i="2" s="1"/>
  <c r="AJ45" i="2" l="1"/>
  <c r="AI49" i="2" s="1"/>
</calcChain>
</file>

<file path=xl/sharedStrings.xml><?xml version="1.0" encoding="utf-8"?>
<sst xmlns="http://schemas.openxmlformats.org/spreadsheetml/2006/main" count="784" uniqueCount="128">
  <si>
    <t>нет</t>
  </si>
  <si>
    <t>тек</t>
  </si>
  <si>
    <t>EV</t>
  </si>
  <si>
    <t>MOEX</t>
  </si>
  <si>
    <t>апсайд</t>
  </si>
  <si>
    <t>EELT</t>
  </si>
  <si>
    <t>ср</t>
  </si>
  <si>
    <t>к,3-13</t>
  </si>
  <si>
    <t>к,1-14</t>
  </si>
  <si>
    <t>к, 1-8</t>
  </si>
  <si>
    <t>к,1-8</t>
  </si>
  <si>
    <t>пр</t>
  </si>
  <si>
    <t>Net Debt</t>
  </si>
  <si>
    <t>Cap</t>
  </si>
  <si>
    <t>VSMO</t>
  </si>
  <si>
    <t>три</t>
  </si>
  <si>
    <t>fair value</t>
  </si>
  <si>
    <t>count</t>
  </si>
  <si>
    <t>price</t>
  </si>
  <si>
    <t>growth</t>
  </si>
  <si>
    <t>curr value</t>
  </si>
  <si>
    <t>KRYS</t>
  </si>
  <si>
    <t>LEAS</t>
  </si>
  <si>
    <t>ZAIM</t>
  </si>
  <si>
    <t>ASTR</t>
  </si>
  <si>
    <t>KUBE</t>
  </si>
  <si>
    <t>NKHP</t>
  </si>
  <si>
    <t>IGST</t>
  </si>
  <si>
    <t>MGKL</t>
  </si>
  <si>
    <t>DIAS</t>
  </si>
  <si>
    <t>POSI</t>
  </si>
  <si>
    <t>IVAT</t>
  </si>
  <si>
    <t>ELMT</t>
  </si>
  <si>
    <t>DATA</t>
  </si>
  <si>
    <t>CHKZ</t>
  </si>
  <si>
    <t>URKZ</t>
  </si>
  <si>
    <t>Дивидендов нет</t>
  </si>
  <si>
    <t>Россети ЮГ</t>
  </si>
  <si>
    <t>Низкий P/E</t>
  </si>
  <si>
    <t>Кэш на балансе незначителен</t>
  </si>
  <si>
    <t>Дивилнеды платятся (текущий в районе 5%)</t>
  </si>
  <si>
    <t>ТНС Энерго Кубань</t>
  </si>
  <si>
    <t>ОВК</t>
  </si>
  <si>
    <t>Кэш на балансе в районе 40 % от капы</t>
  </si>
  <si>
    <t>Низкая оценка - Высокие темпы роста</t>
  </si>
  <si>
    <t>Саратовэнерго</t>
  </si>
  <si>
    <t>Кэш на балансе в районе 75 % от капы</t>
  </si>
  <si>
    <t>Рентабельность улучшается исоставляет уже 20 %</t>
  </si>
  <si>
    <t>Темпы роста по выручке незначительны</t>
  </si>
  <si>
    <t>ВТБ</t>
  </si>
  <si>
    <t>Рост активов</t>
  </si>
  <si>
    <t>Рост ЧП</t>
  </si>
  <si>
    <t>P/E меньше 2</t>
  </si>
  <si>
    <t>TNSE</t>
  </si>
  <si>
    <t>Улучшение рентабельности</t>
  </si>
  <si>
    <t>Див нет</t>
  </si>
  <si>
    <t>Кэш 30% от капы</t>
  </si>
  <si>
    <t>Волгоградэнергосбыт</t>
  </si>
  <si>
    <t xml:space="preserve"> 40% кэша на балансе</t>
  </si>
  <si>
    <t>UKUZ</t>
  </si>
  <si>
    <t>Активы не растут</t>
  </si>
  <si>
    <t>Выручка растет медленней ЧП</t>
  </si>
  <si>
    <t>Долга нет</t>
  </si>
  <si>
    <t>Вывод: рост ЧП в дальнейшем должен замедлиться</t>
  </si>
  <si>
    <t>Посмотреть на ЧП в первом триместре, если сильный рост возмна покупка на переойенке; Текущий P/E равен 2.11</t>
  </si>
  <si>
    <t>об</t>
  </si>
  <si>
    <t>SVET</t>
  </si>
  <si>
    <t>ДД текущая минимальнгая 13.5 и рост на 1.043</t>
  </si>
  <si>
    <t>При payout 30%</t>
  </si>
  <si>
    <t>HNFG</t>
  </si>
  <si>
    <t>EUTR</t>
  </si>
  <si>
    <t>PayOut</t>
  </si>
  <si>
    <t>Возмодная ДД более 20%</t>
  </si>
  <si>
    <t>инфляция</t>
  </si>
  <si>
    <t>ставка ЦБ</t>
  </si>
  <si>
    <t>срок окупаемости</t>
  </si>
  <si>
    <t>NKNC</t>
  </si>
  <si>
    <t xml:space="preserve"> за 2 полуголие 2024 ЧП выросла; возможно восстановление</t>
  </si>
  <si>
    <t>А</t>
  </si>
  <si>
    <t>рентабельность увеличина до 0,088, т.к. она увеличивается поступательно</t>
  </si>
  <si>
    <t>RNFT</t>
  </si>
  <si>
    <t>Можно купить на ожидании выплат дивидендов по обычкам</t>
  </si>
  <si>
    <t>годы (А)</t>
  </si>
  <si>
    <t>Существенный рост ЧП за 2024 связан стем, что Выручка увеличилась, а себестоимость осталоась прежней</t>
  </si>
  <si>
    <t>Перспектива - дальнейший рост без роста себестоимости</t>
  </si>
  <si>
    <t>SBER</t>
  </si>
  <si>
    <t>Инф</t>
  </si>
  <si>
    <t>Дивиденд</t>
  </si>
  <si>
    <t>HEAD</t>
  </si>
  <si>
    <t>WUSH</t>
  </si>
  <si>
    <t>NSVZ</t>
  </si>
  <si>
    <t>дивиденды</t>
  </si>
  <si>
    <t>Див пол</t>
  </si>
  <si>
    <t>не менее, 40% по МФСО</t>
  </si>
  <si>
    <t>MBNK</t>
  </si>
  <si>
    <t>AMEZ</t>
  </si>
  <si>
    <t>TASB</t>
  </si>
  <si>
    <t>RENI</t>
  </si>
  <si>
    <t>VJGZ</t>
  </si>
  <si>
    <t>RDRB</t>
  </si>
  <si>
    <t>LSR</t>
  </si>
  <si>
    <t>TGKN</t>
  </si>
  <si>
    <t>EPS</t>
  </si>
  <si>
    <t>Div</t>
  </si>
  <si>
    <t>Payout</t>
  </si>
  <si>
    <t>Создано уведомление при достижении PE до 3,6, тогда ДД будет 25%</t>
  </si>
  <si>
    <t>MGTS</t>
  </si>
  <si>
    <t>ДД нет</t>
  </si>
  <si>
    <t>создано уведомление при PE &lt; 3,5</t>
  </si>
  <si>
    <t>VLHZ</t>
  </si>
  <si>
    <t>SARE</t>
  </si>
  <si>
    <t>MRKU</t>
  </si>
  <si>
    <t>ДД</t>
  </si>
  <si>
    <t>MRKY</t>
  </si>
  <si>
    <t>STSB</t>
  </si>
  <si>
    <t>TUZA</t>
  </si>
  <si>
    <t>MRKV</t>
  </si>
  <si>
    <t>Текуший ДД = 10%</t>
  </si>
  <si>
    <t>Смотреть на результаты в первом квартелае</t>
  </si>
  <si>
    <t>APRI</t>
  </si>
  <si>
    <t>UWGN</t>
  </si>
  <si>
    <t>MSFT</t>
  </si>
  <si>
    <t>GOOG</t>
  </si>
  <si>
    <t>AMZN</t>
  </si>
  <si>
    <t>NVDA</t>
  </si>
  <si>
    <t>AAPL</t>
  </si>
  <si>
    <t>LENT</t>
  </si>
  <si>
    <t>COKE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</si>
</sst>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"/>
    <numFmt numFmtId="165" formatCode="0.0000"/>
    <numFmt numFmtId="166" formatCode="#,##0.0"/>
    <numFmt numFmtId="167" formatCode="0.00000"/>
    <numFmt numFmtId="168" formatCode="#,##0.000"/>
  </numFmts>
  <fonts count="14">
    <font>
      <sz val="11"/>
      <color theme="1"/>
      <name val="Calibri"/>
      <family val="2"/>
      <charset val="204"/>
      <scheme val="minor"/>
    </font>
    <font>
      <u/>
      <sz val="9.35"/>
      <color theme="10"/>
      <name val="Calibri"/>
      <family val="2"/>
      <charset val="204"/>
    </font>
    <font>
      <sz val="11"/>
      <color rgb="FF008000"/>
      <name val="Calibri"/>
      <family val="2"/>
      <charset val="204"/>
      <scheme val="minor"/>
    </font>
    <font>
      <b/>
      <sz val="18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3.5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1"/>
      <color rgb="FF666666"/>
      <name val="Trebuchet MS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1"/>
      <color rgb="FF455A64"/>
      <name val="Avenir Next Cyr"/>
    </font>
    <font>
      <sz val="14"/>
      <color rgb="FF455A64"/>
      <name val="Times New Roman"/>
      <family val="1"/>
      <charset val="204"/>
    </font>
    <font>
      <sz val="11"/>
      <color theme="9" tint="0.79998168889431442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BDFEF"/>
        <bgColor indexed="64"/>
      </patternFill>
    </fill>
    <fill>
      <patternFill patternType="solid">
        <fgColor rgb="FFA2C3DD"/>
        <bgColor indexed="64"/>
      </patternFill>
    </fill>
    <fill>
      <patternFill patternType="solid">
        <fgColor rgb="FFEAEBE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4F8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rgb="FF2E82C3"/>
      </left>
      <right style="medium">
        <color rgb="FF2E82C3"/>
      </right>
      <top style="medium">
        <color rgb="FF2E82C3"/>
      </top>
      <bottom style="medium">
        <color rgb="FF2E82C3"/>
      </bottom>
      <diagonal/>
    </border>
    <border>
      <left style="medium">
        <color rgb="FFE0E0E0"/>
      </left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E0E0E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0" fontId="1" fillId="0" borderId="0" xfId="1" applyAlignment="1" applyProtection="1"/>
    <xf numFmtId="3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21" fontId="0" fillId="0" borderId="0" xfId="0" applyNumberFormat="1" applyAlignment="1">
      <alignment horizontal="right"/>
    </xf>
    <xf numFmtId="3" fontId="0" fillId="0" borderId="0" xfId="0" applyNumberFormat="1"/>
    <xf numFmtId="1" fontId="0" fillId="0" borderId="0" xfId="0" applyNumberFormat="1"/>
    <xf numFmtId="0" fontId="0" fillId="0" borderId="0" xfId="0" applyBorder="1"/>
    <xf numFmtId="0" fontId="0" fillId="0" borderId="1" xfId="0" applyBorder="1"/>
    <xf numFmtId="0" fontId="0" fillId="0" borderId="0" xfId="0" applyAlignment="1">
      <alignment wrapText="1"/>
    </xf>
    <xf numFmtId="0" fontId="3" fillId="0" borderId="0" xfId="0" applyFont="1" applyAlignment="1">
      <alignment horizontal="center" wrapText="1"/>
    </xf>
    <xf numFmtId="0" fontId="4" fillId="2" borderId="2" xfId="0" applyFont="1" applyFill="1" applyBorder="1" applyAlignment="1">
      <alignment wrapText="1"/>
    </xf>
    <xf numFmtId="0" fontId="5" fillId="0" borderId="0" xfId="0" applyFont="1" applyAlignment="1">
      <alignment horizontal="center" wrapText="1"/>
    </xf>
    <xf numFmtId="17" fontId="4" fillId="2" borderId="2" xfId="0" applyNumberFormat="1" applyFont="1" applyFill="1" applyBorder="1" applyAlignment="1">
      <alignment wrapText="1"/>
    </xf>
    <xf numFmtId="0" fontId="4" fillId="3" borderId="2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wrapText="1"/>
    </xf>
    <xf numFmtId="1" fontId="0" fillId="0" borderId="0" xfId="0" applyNumberFormat="1"/>
    <xf numFmtId="0" fontId="0" fillId="0" borderId="0" xfId="0"/>
    <xf numFmtId="0" fontId="0" fillId="0" borderId="0" xfId="0"/>
    <xf numFmtId="0" fontId="8" fillId="4" borderId="3" xfId="0" applyFont="1" applyFill="1" applyBorder="1" applyAlignment="1">
      <alignment horizontal="center" wrapText="1"/>
    </xf>
    <xf numFmtId="0" fontId="8" fillId="4" borderId="4" xfId="0" applyFont="1" applyFill="1" applyBorder="1" applyAlignment="1">
      <alignment horizontal="center" wrapText="1"/>
    </xf>
    <xf numFmtId="0" fontId="8" fillId="4" borderId="5" xfId="0" applyFont="1" applyFill="1" applyBorder="1" applyAlignment="1">
      <alignment horizontal="center" wrapText="1"/>
    </xf>
    <xf numFmtId="0" fontId="0" fillId="0" borderId="0" xfId="0" applyFill="1" applyBorder="1" applyAlignment="1"/>
    <xf numFmtId="0" fontId="4" fillId="0" borderId="0" xfId="0" applyFont="1" applyFill="1" applyBorder="1" applyAlignment="1">
      <alignment wrapText="1"/>
    </xf>
    <xf numFmtId="16" fontId="8" fillId="4" borderId="3" xfId="0" applyNumberFormat="1" applyFont="1" applyFill="1" applyBorder="1" applyAlignment="1">
      <alignment horizontal="center" wrapText="1"/>
    </xf>
    <xf numFmtId="0" fontId="10" fillId="0" borderId="0" xfId="0" applyFont="1" applyAlignment="1">
      <alignment horizontal="center" readingOrder="1"/>
    </xf>
    <xf numFmtId="2" fontId="4" fillId="0" borderId="0" xfId="0" applyNumberFormat="1" applyFont="1" applyFill="1" applyBorder="1" applyAlignment="1">
      <alignment wrapText="1"/>
    </xf>
    <xf numFmtId="0" fontId="0" fillId="0" borderId="0" xfId="0"/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64" fontId="0" fillId="0" borderId="0" xfId="0" applyNumberFormat="1"/>
    <xf numFmtId="0" fontId="0" fillId="0" borderId="6" xfId="0" applyBorder="1"/>
    <xf numFmtId="0" fontId="0" fillId="0" borderId="7" xfId="0" applyBorder="1"/>
    <xf numFmtId="0" fontId="0" fillId="0" borderId="8" xfId="0" applyBorder="1"/>
    <xf numFmtId="1" fontId="0" fillId="0" borderId="0" xfId="0" applyNumberFormat="1" applyBorder="1"/>
    <xf numFmtId="0" fontId="0" fillId="0" borderId="9" xfId="0" applyBorder="1"/>
    <xf numFmtId="164" fontId="0" fillId="0" borderId="0" xfId="0" applyNumberFormat="1" applyBorder="1"/>
    <xf numFmtId="164" fontId="0" fillId="0" borderId="9" xfId="0" applyNumberFormat="1" applyBorder="1"/>
    <xf numFmtId="3" fontId="0" fillId="0" borderId="0" xfId="0" applyNumberFormat="1" applyBorder="1"/>
    <xf numFmtId="3" fontId="0" fillId="0" borderId="9" xfId="0" applyNumberFormat="1" applyBorder="1"/>
    <xf numFmtId="0" fontId="9" fillId="0" borderId="0" xfId="0" applyFont="1" applyFill="1" applyBorder="1" applyAlignment="1">
      <alignment horizontal="center"/>
    </xf>
    <xf numFmtId="0" fontId="0" fillId="0" borderId="0" xfId="0" applyNumberFormat="1"/>
    <xf numFmtId="0" fontId="0" fillId="0" borderId="0" xfId="0" applyBorder="1" applyAlignment="1">
      <alignment horizontal="right"/>
    </xf>
    <xf numFmtId="0" fontId="0" fillId="0" borderId="9" xfId="0" applyBorder="1" applyAlignment="1">
      <alignment horizontal="right"/>
    </xf>
    <xf numFmtId="164" fontId="0" fillId="6" borderId="1" xfId="0" applyNumberFormat="1" applyFill="1" applyBorder="1"/>
    <xf numFmtId="164" fontId="0" fillId="7" borderId="10" xfId="0" applyNumberFormat="1" applyFill="1" applyBorder="1"/>
    <xf numFmtId="164" fontId="0" fillId="8" borderId="1" xfId="0" applyNumberFormat="1" applyFill="1" applyBorder="1"/>
    <xf numFmtId="3" fontId="0" fillId="0" borderId="7" xfId="0" applyNumberFormat="1" applyBorder="1"/>
    <xf numFmtId="3" fontId="0" fillId="0" borderId="8" xfId="0" applyNumberFormat="1" applyBorder="1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3" xfId="0" applyBorder="1" applyAlignment="1">
      <alignment horizontal="right"/>
    </xf>
    <xf numFmtId="0" fontId="0" fillId="0" borderId="14" xfId="0" applyBorder="1" applyAlignment="1">
      <alignment horizontal="right"/>
    </xf>
    <xf numFmtId="0" fontId="0" fillId="0" borderId="11" xfId="0" applyBorder="1"/>
    <xf numFmtId="0" fontId="0" fillId="0" borderId="15" xfId="0" applyBorder="1"/>
    <xf numFmtId="9" fontId="0" fillId="0" borderId="0" xfId="0" applyNumberFormat="1"/>
    <xf numFmtId="166" fontId="0" fillId="0" borderId="8" xfId="0" applyNumberFormat="1" applyBorder="1" applyAlignment="1">
      <alignment horizontal="right"/>
    </xf>
    <xf numFmtId="2" fontId="0" fillId="0" borderId="0" xfId="0" applyNumberFormat="1" applyBorder="1"/>
    <xf numFmtId="0" fontId="0" fillId="0" borderId="0" xfId="0" applyFill="1" applyBorder="1"/>
    <xf numFmtId="0" fontId="8" fillId="4" borderId="0" xfId="0" applyFont="1" applyFill="1" applyBorder="1" applyAlignment="1">
      <alignment horizontal="center" wrapText="1"/>
    </xf>
    <xf numFmtId="0" fontId="12" fillId="0" borderId="0" xfId="0" applyFont="1" applyAlignment="1">
      <alignment horizontal="left" vertical="center" wrapText="1"/>
    </xf>
    <xf numFmtId="167" fontId="0" fillId="0" borderId="0" xfId="0" applyNumberFormat="1"/>
    <xf numFmtId="10" fontId="0" fillId="0" borderId="0" xfId="0" applyNumberFormat="1"/>
    <xf numFmtId="2" fontId="8" fillId="4" borderId="0" xfId="0" applyNumberFormat="1" applyFont="1" applyFill="1" applyBorder="1" applyAlignment="1">
      <alignment horizontal="center" wrapText="1"/>
    </xf>
    <xf numFmtId="0" fontId="0" fillId="5" borderId="0" xfId="0" applyFill="1" applyBorder="1"/>
    <xf numFmtId="0" fontId="4" fillId="2" borderId="0" xfId="0" applyFont="1" applyFill="1" applyBorder="1" applyAlignment="1">
      <alignment wrapText="1"/>
    </xf>
    <xf numFmtId="1" fontId="4" fillId="2" borderId="0" xfId="0" applyNumberFormat="1" applyFont="1" applyFill="1" applyBorder="1" applyAlignment="1">
      <alignment wrapText="1"/>
    </xf>
    <xf numFmtId="0" fontId="0" fillId="5" borderId="7" xfId="0" applyFill="1" applyBorder="1"/>
    <xf numFmtId="0" fontId="13" fillId="0" borderId="7" xfId="0" applyFont="1" applyBorder="1"/>
    <xf numFmtId="168" fontId="0" fillId="0" borderId="8" xfId="0" applyNumberFormat="1" applyBorder="1" applyAlignment="1">
      <alignment horizontal="right"/>
    </xf>
    <xf numFmtId="165" fontId="0" fillId="0" borderId="0" xfId="0" applyNumberFormat="1" applyBorder="1"/>
    <xf numFmtId="0" fontId="11" fillId="9" borderId="0" xfId="0" applyFont="1" applyFill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306"/>
  <sheetViews>
    <sheetView tabSelected="1" zoomScale="85" zoomScaleNormal="85" workbookViewId="0">
      <selection activeCell="BB16" sqref="BB16"/>
    </sheetView>
  </sheetViews>
  <sheetFormatPr defaultRowHeight="15"/>
  <cols>
    <col min="3" max="3" width="12.42578125" bestFit="1" customWidth="1"/>
    <col min="4" max="4" width="10" customWidth="1"/>
    <col min="5" max="5" width="8.85546875" bestFit="1" customWidth="1"/>
    <col min="12" max="12" width="11.42578125" customWidth="1"/>
    <col min="13" max="13" width="10.5703125" bestFit="1" customWidth="1"/>
    <col min="16" max="16" width="9.42578125" customWidth="1"/>
    <col min="17" max="18" width="10.28515625" bestFit="1" customWidth="1"/>
    <col min="22" max="22" width="11.42578125" bestFit="1" customWidth="1"/>
    <col min="23" max="23" width="12.5703125" customWidth="1"/>
    <col min="24" max="24" width="9.5703125" bestFit="1" customWidth="1"/>
    <col min="34" max="36" width="10.28515625" bestFit="1" customWidth="1"/>
    <col min="43" max="43" width="9" bestFit="1" customWidth="1"/>
    <col min="51" max="51" width="9" bestFit="1" customWidth="1"/>
  </cols>
  <sheetData>
    <row r="1" spans="1:84">
      <c r="A1" s="33">
        <f>PRODUCT(C2)^(1/1)</f>
        <v>1.0951</v>
      </c>
      <c r="D1" t="s">
        <v>73</v>
      </c>
      <c r="E1" s="20"/>
      <c r="G1">
        <v>1</v>
      </c>
      <c r="H1" s="30">
        <f>$A$10/(1/G1^3)</f>
        <v>4</v>
      </c>
      <c r="I1" s="29">
        <v>1.1000000000000001</v>
      </c>
      <c r="J1" s="30">
        <f>$A$10/(1/I1^3)</f>
        <v>5.3240000000000016</v>
      </c>
      <c r="K1" s="29">
        <v>1.2</v>
      </c>
      <c r="L1" s="30">
        <f>$A$10/(1/K1^3)</f>
        <v>6.9119999999999999</v>
      </c>
      <c r="M1" s="29">
        <v>1.3</v>
      </c>
      <c r="N1" s="30">
        <f>$A$10/(1/M1^3)</f>
        <v>8.788000000000002</v>
      </c>
      <c r="O1" s="29">
        <v>1.4</v>
      </c>
      <c r="P1" s="30">
        <f>$A$10/(1/O1^3)</f>
        <v>10.975999999999997</v>
      </c>
      <c r="Q1" s="29">
        <v>1.5</v>
      </c>
      <c r="R1" s="30">
        <f>$A$10/(1/Q1^3)</f>
        <v>13.5</v>
      </c>
      <c r="S1" s="8"/>
      <c r="T1" s="20"/>
      <c r="V1">
        <v>78683</v>
      </c>
      <c r="W1" s="20">
        <v>4</v>
      </c>
      <c r="Y1" s="29">
        <v>0.17369999999999999</v>
      </c>
      <c r="Z1" s="29" t="s">
        <v>86</v>
      </c>
      <c r="AA1" s="71">
        <v>4</v>
      </c>
      <c r="AB1" s="34" t="s">
        <v>121</v>
      </c>
      <c r="AC1" s="35"/>
      <c r="AD1" s="36"/>
      <c r="AE1" s="29">
        <v>0.25</v>
      </c>
      <c r="AF1" s="29" t="s">
        <v>86</v>
      </c>
      <c r="AG1" s="71">
        <v>3.25</v>
      </c>
      <c r="AH1" s="34" t="s">
        <v>122</v>
      </c>
      <c r="AK1" s="29">
        <v>0.11</v>
      </c>
      <c r="AL1" s="29" t="s">
        <v>86</v>
      </c>
      <c r="AM1" s="71">
        <v>4</v>
      </c>
      <c r="AN1" s="34" t="s">
        <v>123</v>
      </c>
      <c r="AO1" s="8"/>
      <c r="AP1" s="8"/>
      <c r="AQ1" s="29">
        <v>0.7</v>
      </c>
      <c r="AR1" s="29" t="s">
        <v>86</v>
      </c>
      <c r="AS1" s="71">
        <v>4</v>
      </c>
      <c r="AT1" s="34" t="s">
        <v>124</v>
      </c>
      <c r="AU1" s="8"/>
      <c r="AV1" s="8"/>
      <c r="AW1" s="29">
        <v>0.27</v>
      </c>
      <c r="AX1" s="29" t="s">
        <v>86</v>
      </c>
      <c r="AY1" s="71">
        <v>4</v>
      </c>
      <c r="AZ1" s="34" t="s">
        <v>125</v>
      </c>
      <c r="BA1" s="8"/>
      <c r="BB1" s="8"/>
      <c r="BC1" s="29">
        <v>0.12</v>
      </c>
      <c r="BD1" s="29" t="s">
        <v>86</v>
      </c>
      <c r="BE1" s="71">
        <v>4</v>
      </c>
      <c r="BF1" s="34" t="s">
        <v>127</v>
      </c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</row>
    <row r="2" spans="1:84">
      <c r="A2" s="33">
        <f>PRODUCT(C2:C3)^(1/2)</f>
        <v>1.0845491736200807</v>
      </c>
      <c r="C2">
        <v>1.0951</v>
      </c>
      <c r="D2" s="20">
        <v>2024</v>
      </c>
      <c r="E2" s="20"/>
      <c r="F2" s="20"/>
      <c r="G2">
        <v>1.01</v>
      </c>
      <c r="H2" s="30">
        <f t="shared" ref="H2:H10" si="0">$A$10/(1/G2^3)</f>
        <v>4.1212039999999996</v>
      </c>
      <c r="I2">
        <v>1.1100000000000001</v>
      </c>
      <c r="J2" s="30">
        <f t="shared" ref="J2:J10" si="1">$A$10/(1/I2^3)</f>
        <v>5.4705240000000011</v>
      </c>
      <c r="K2">
        <v>1.21</v>
      </c>
      <c r="L2" s="30">
        <f t="shared" ref="L2:L10" si="2">$A$10/(1/K2^3)</f>
        <v>7.0862439999999998</v>
      </c>
      <c r="M2" s="8">
        <v>1.31</v>
      </c>
      <c r="N2" s="30">
        <f t="shared" ref="N2:N10" si="3">$A$10/(1/M2^3)</f>
        <v>8.992364000000002</v>
      </c>
      <c r="O2" s="8">
        <v>1.41</v>
      </c>
      <c r="P2" s="30">
        <f t="shared" ref="P2:P10" si="4">$A$10/(1/O2^3)</f>
        <v>11.212883999999997</v>
      </c>
      <c r="Q2" s="8">
        <v>1.51</v>
      </c>
      <c r="R2" s="30">
        <f t="shared" ref="R2:R10" si="5">$A$10/(1/Q2^3)</f>
        <v>13.771803999999999</v>
      </c>
      <c r="S2" s="8"/>
      <c r="T2" s="8"/>
      <c r="U2" s="8"/>
      <c r="V2" s="8">
        <v>61487</v>
      </c>
      <c r="W2" s="8"/>
      <c r="X2" s="8"/>
      <c r="Y2" s="54" t="s">
        <v>12</v>
      </c>
      <c r="Z2" s="50">
        <v>-9327</v>
      </c>
      <c r="AA2" s="55" t="s">
        <v>18</v>
      </c>
      <c r="AB2" s="60">
        <v>394</v>
      </c>
      <c r="AC2" s="8"/>
      <c r="AD2" s="8"/>
      <c r="AE2" s="54" t="s">
        <v>12</v>
      </c>
      <c r="AF2" s="50">
        <v>-71764</v>
      </c>
      <c r="AG2" s="55" t="s">
        <v>18</v>
      </c>
      <c r="AH2" s="60">
        <v>162</v>
      </c>
      <c r="AI2" s="8"/>
      <c r="AJ2" s="8"/>
      <c r="AK2" s="54" t="s">
        <v>12</v>
      </c>
      <c r="AL2" s="50">
        <v>29698</v>
      </c>
      <c r="AM2" s="55" t="s">
        <v>18</v>
      </c>
      <c r="AN2" s="60">
        <v>187</v>
      </c>
      <c r="AO2" s="8"/>
      <c r="AP2" s="8"/>
      <c r="AQ2" s="54" t="s">
        <v>12</v>
      </c>
      <c r="AR2" s="50">
        <v>-32940</v>
      </c>
      <c r="AS2" s="55" t="s">
        <v>18</v>
      </c>
      <c r="AT2" s="60">
        <v>109</v>
      </c>
      <c r="AU2" s="8"/>
      <c r="AV2" s="8"/>
      <c r="AW2" s="54" t="s">
        <v>12</v>
      </c>
      <c r="AX2" s="50">
        <v>43024</v>
      </c>
      <c r="AY2" s="55" t="s">
        <v>18</v>
      </c>
      <c r="AZ2" s="60">
        <v>211</v>
      </c>
      <c r="BA2" s="8"/>
      <c r="BB2" s="8"/>
      <c r="BC2" s="54" t="s">
        <v>12</v>
      </c>
      <c r="BD2" s="50">
        <v>469.96</v>
      </c>
      <c r="BE2" s="55" t="s">
        <v>18</v>
      </c>
      <c r="BF2" s="60">
        <v>1351</v>
      </c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</row>
    <row r="3" spans="1:84">
      <c r="A3" s="33">
        <f>PRODUCT(C2:C4)^(1/3)</f>
        <v>1.0959785784192015</v>
      </c>
      <c r="C3">
        <v>1.0741000000000001</v>
      </c>
      <c r="D3" s="20">
        <v>2023</v>
      </c>
      <c r="E3" s="20"/>
      <c r="G3" s="29">
        <v>1.02</v>
      </c>
      <c r="H3" s="30">
        <f t="shared" si="0"/>
        <v>4.2448319999999997</v>
      </c>
      <c r="I3" s="29">
        <v>1.1200000000000001</v>
      </c>
      <c r="J3" s="30">
        <f t="shared" si="1"/>
        <v>5.6197120000000016</v>
      </c>
      <c r="K3" s="29">
        <v>1.22</v>
      </c>
      <c r="L3" s="30">
        <f t="shared" si="2"/>
        <v>7.2633919999999996</v>
      </c>
      <c r="M3" s="29">
        <v>1.32</v>
      </c>
      <c r="N3" s="30">
        <f t="shared" si="3"/>
        <v>9.1998720000000009</v>
      </c>
      <c r="O3" s="29">
        <v>1.42</v>
      </c>
      <c r="P3" s="30">
        <f t="shared" si="4"/>
        <v>11.453151999999999</v>
      </c>
      <c r="Q3" s="29">
        <v>1.52</v>
      </c>
      <c r="R3" s="30">
        <f t="shared" si="5"/>
        <v>14.047231999999999</v>
      </c>
      <c r="S3" s="8"/>
      <c r="T3" s="8"/>
      <c r="U3" s="8"/>
      <c r="V3" s="8"/>
      <c r="W3" s="8"/>
      <c r="X3" s="8"/>
      <c r="Y3" s="52" t="s">
        <v>13</v>
      </c>
      <c r="Z3" s="41">
        <f>AB2*AB3+AB4*AB5</f>
        <v>2929390</v>
      </c>
      <c r="AA3" s="56" t="s">
        <v>17</v>
      </c>
      <c r="AB3" s="38">
        <v>7435</v>
      </c>
      <c r="AC3" s="8"/>
      <c r="AD3" s="8"/>
      <c r="AE3" s="52" t="s">
        <v>13</v>
      </c>
      <c r="AF3" s="41">
        <f>AH2*AH3+AH4*AH5</f>
        <v>1974780</v>
      </c>
      <c r="AG3" s="56" t="s">
        <v>17</v>
      </c>
      <c r="AH3" s="38">
        <v>12190</v>
      </c>
      <c r="AI3" s="8"/>
      <c r="AJ3" s="8"/>
      <c r="AK3" s="52" t="s">
        <v>13</v>
      </c>
      <c r="AL3" s="41">
        <f>AN2*AN3+AN4*AN5</f>
        <v>1980891</v>
      </c>
      <c r="AM3" s="56" t="s">
        <v>17</v>
      </c>
      <c r="AN3" s="38">
        <v>10593</v>
      </c>
      <c r="AO3" s="8"/>
      <c r="AP3" s="8"/>
      <c r="AQ3" s="52" t="s">
        <v>13</v>
      </c>
      <c r="AR3" s="41">
        <f>AT2*AT3+AT4*AT5</f>
        <v>2667993</v>
      </c>
      <c r="AS3" s="56" t="s">
        <v>17</v>
      </c>
      <c r="AT3" s="38">
        <v>24477</v>
      </c>
      <c r="AU3" s="8"/>
      <c r="AV3" s="8"/>
      <c r="AW3" s="52" t="s">
        <v>13</v>
      </c>
      <c r="AX3" s="41">
        <f>AZ2*AZ3+AZ4*AZ5</f>
        <v>3189687</v>
      </c>
      <c r="AY3" s="56" t="s">
        <v>17</v>
      </c>
      <c r="AZ3" s="38">
        <v>15117</v>
      </c>
      <c r="BA3" s="8"/>
      <c r="BB3" s="8"/>
      <c r="BC3" s="52" t="s">
        <v>13</v>
      </c>
      <c r="BD3" s="41">
        <f>BF2*BF3+BF4*BF5</f>
        <v>11780.720000000001</v>
      </c>
      <c r="BE3" s="56" t="s">
        <v>17</v>
      </c>
      <c r="BF3" s="38">
        <v>8.7200000000000006</v>
      </c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</row>
    <row r="4" spans="1:84">
      <c r="A4" s="33">
        <f>PRODUCT(C2:C5)^(1/4)</f>
        <v>1.0929463733669342</v>
      </c>
      <c r="C4">
        <v>1.1192</v>
      </c>
      <c r="D4" s="20">
        <v>2022</v>
      </c>
      <c r="E4" s="20"/>
      <c r="G4" s="29">
        <v>1.03</v>
      </c>
      <c r="H4" s="30">
        <f t="shared" si="0"/>
        <v>4.370908</v>
      </c>
      <c r="I4" s="29">
        <v>1.1299999999999999</v>
      </c>
      <c r="J4" s="30">
        <f t="shared" si="1"/>
        <v>5.7715879999999977</v>
      </c>
      <c r="K4" s="29">
        <v>1.23</v>
      </c>
      <c r="L4" s="30">
        <f t="shared" si="2"/>
        <v>7.4434679999999984</v>
      </c>
      <c r="M4" s="8">
        <v>1.33</v>
      </c>
      <c r="N4" s="30">
        <f t="shared" si="3"/>
        <v>9.4105480000000004</v>
      </c>
      <c r="O4" s="8">
        <v>1.43</v>
      </c>
      <c r="P4" s="30">
        <f t="shared" si="4"/>
        <v>11.696827999999998</v>
      </c>
      <c r="Q4" s="8">
        <v>1.53</v>
      </c>
      <c r="R4" s="30">
        <f t="shared" si="5"/>
        <v>14.326307999999999</v>
      </c>
      <c r="S4" s="8"/>
      <c r="T4" s="8"/>
      <c r="U4" s="8"/>
      <c r="V4" s="8">
        <f>(V1/V2)^(1/W1)</f>
        <v>1.0635903824467063</v>
      </c>
      <c r="W4" s="61"/>
      <c r="X4" s="8"/>
      <c r="Y4" s="52" t="s">
        <v>2</v>
      </c>
      <c r="Z4" s="41">
        <f>Z3+Z2</f>
        <v>2920063</v>
      </c>
      <c r="AA4" s="8"/>
      <c r="AB4" s="38"/>
      <c r="AC4" s="8"/>
      <c r="AD4" s="8"/>
      <c r="AE4" s="52" t="s">
        <v>2</v>
      </c>
      <c r="AF4" s="41">
        <f>AF3+AF2</f>
        <v>1903016</v>
      </c>
      <c r="AG4" s="8"/>
      <c r="AH4" s="38"/>
      <c r="AI4" s="8"/>
      <c r="AJ4" s="61"/>
      <c r="AK4" s="52" t="s">
        <v>2</v>
      </c>
      <c r="AL4" s="41">
        <f>AL3+AL2</f>
        <v>2010589</v>
      </c>
      <c r="AM4" s="8"/>
      <c r="AN4" s="38"/>
      <c r="AO4" s="8"/>
      <c r="AP4" s="8"/>
      <c r="AQ4" s="52" t="s">
        <v>2</v>
      </c>
      <c r="AR4" s="41">
        <f>AR3+AR2</f>
        <v>2635053</v>
      </c>
      <c r="AS4" s="8"/>
      <c r="AT4" s="38"/>
      <c r="AU4" s="8"/>
      <c r="AV4" s="8"/>
      <c r="AW4" s="52" t="s">
        <v>2</v>
      </c>
      <c r="AX4" s="41">
        <f>AX3+AX2</f>
        <v>3232711</v>
      </c>
      <c r="AY4" s="8"/>
      <c r="AZ4" s="38"/>
      <c r="BA4" s="8"/>
      <c r="BB4" s="8"/>
      <c r="BC4" s="52" t="s">
        <v>2</v>
      </c>
      <c r="BD4" s="41">
        <f>BD3+BD2</f>
        <v>12250.68</v>
      </c>
      <c r="BE4" s="8"/>
      <c r="BF4" s="3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</row>
    <row r="5" spans="1:84">
      <c r="C5">
        <v>1.0839000000000001</v>
      </c>
      <c r="D5">
        <v>2021</v>
      </c>
      <c r="G5" s="29">
        <v>1.04</v>
      </c>
      <c r="H5" s="30">
        <f t="shared" si="0"/>
        <v>4.4994560000000003</v>
      </c>
      <c r="I5" s="29">
        <v>1.1399999999999999</v>
      </c>
      <c r="J5" s="30">
        <f t="shared" si="1"/>
        <v>5.926175999999999</v>
      </c>
      <c r="K5" s="29">
        <v>1.24</v>
      </c>
      <c r="L5" s="30">
        <f t="shared" si="2"/>
        <v>7.6264960000000013</v>
      </c>
      <c r="M5" s="29">
        <v>1.34</v>
      </c>
      <c r="N5" s="30">
        <f t="shared" si="3"/>
        <v>9.6244160000000019</v>
      </c>
      <c r="O5" s="29">
        <v>1.44</v>
      </c>
      <c r="P5" s="30">
        <f t="shared" si="4"/>
        <v>11.943935999999999</v>
      </c>
      <c r="Q5" s="29">
        <v>1.54</v>
      </c>
      <c r="R5" s="30">
        <f t="shared" si="5"/>
        <v>14.609055999999999</v>
      </c>
      <c r="T5" s="8"/>
      <c r="U5" s="8"/>
      <c r="V5" s="8"/>
      <c r="W5" s="8"/>
      <c r="X5" s="8"/>
      <c r="Y5" s="58"/>
      <c r="Z5" s="8"/>
      <c r="AA5" s="8"/>
      <c r="AB5" s="38"/>
      <c r="AC5" s="8"/>
      <c r="AD5" s="8"/>
      <c r="AE5" s="58"/>
      <c r="AF5" s="8"/>
      <c r="AG5" s="8"/>
      <c r="AH5" s="38"/>
      <c r="AI5" s="8"/>
      <c r="AJ5" s="8"/>
      <c r="AK5" s="58"/>
      <c r="AL5" s="8"/>
      <c r="AM5" s="8"/>
      <c r="AN5" s="38"/>
      <c r="AO5" s="8"/>
      <c r="AP5" s="8"/>
      <c r="AQ5" s="58"/>
      <c r="AR5" s="8"/>
      <c r="AS5" s="8"/>
      <c r="AT5" s="38"/>
      <c r="AU5" s="8"/>
      <c r="AV5" s="8"/>
      <c r="AW5" s="58"/>
      <c r="AX5" s="8"/>
      <c r="AY5" s="8"/>
      <c r="AZ5" s="38"/>
      <c r="BA5" s="8"/>
      <c r="BB5" s="8"/>
      <c r="BC5" s="58"/>
      <c r="BD5" s="8"/>
      <c r="BE5" s="8"/>
      <c r="BF5" s="3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</row>
    <row r="6" spans="1:84">
      <c r="A6">
        <v>1.1000000000000001</v>
      </c>
      <c r="G6" s="29">
        <v>1.05</v>
      </c>
      <c r="H6" s="30">
        <f t="shared" si="0"/>
        <v>4.6305000000000005</v>
      </c>
      <c r="I6" s="29">
        <v>1.1499999999999999</v>
      </c>
      <c r="J6" s="30">
        <f t="shared" si="1"/>
        <v>6.083499999999999</v>
      </c>
      <c r="K6" s="29">
        <v>1.25</v>
      </c>
      <c r="L6" s="30">
        <f t="shared" si="2"/>
        <v>7.8125</v>
      </c>
      <c r="M6" s="8">
        <v>1.35</v>
      </c>
      <c r="N6" s="30">
        <f t="shared" si="3"/>
        <v>9.8415000000000017</v>
      </c>
      <c r="O6" s="8">
        <v>1.45</v>
      </c>
      <c r="P6" s="30">
        <f t="shared" si="4"/>
        <v>12.1945</v>
      </c>
      <c r="Q6" s="8">
        <v>1.55</v>
      </c>
      <c r="R6" s="30">
        <f t="shared" si="5"/>
        <v>14.895500000000002</v>
      </c>
      <c r="T6" s="8"/>
      <c r="U6" s="8"/>
      <c r="V6" s="8"/>
      <c r="W6" s="8"/>
      <c r="X6" s="8"/>
      <c r="Y6" s="53" t="s">
        <v>19</v>
      </c>
      <c r="Z6" s="39">
        <f>((AA6+AA13)/AB6)^(1/AA1)/$A$20</f>
        <v>1.1486065999135975</v>
      </c>
      <c r="AA6" s="41">
        <v>533898</v>
      </c>
      <c r="AB6" s="42">
        <v>301311</v>
      </c>
      <c r="AC6" s="8"/>
      <c r="AD6" s="8"/>
      <c r="AE6" s="53" t="s">
        <v>19</v>
      </c>
      <c r="AF6" s="39">
        <f>((AG6+AG13)/AH6)^(1/AG1)/$A$20</f>
        <v>1.054631694874278</v>
      </c>
      <c r="AG6" s="41">
        <v>475374</v>
      </c>
      <c r="AH6" s="42">
        <v>359268</v>
      </c>
      <c r="AI6" s="8"/>
      <c r="AJ6" s="8"/>
      <c r="AK6" s="53" t="s">
        <v>19</v>
      </c>
      <c r="AL6" s="39">
        <f>((AM6+AM13)/AN6)^(1/AM1)/$A$20</f>
        <v>1.135601755907687</v>
      </c>
      <c r="AM6" s="41">
        <v>624894</v>
      </c>
      <c r="AN6" s="42">
        <v>321195</v>
      </c>
      <c r="AO6" s="8"/>
      <c r="AP6" s="8"/>
      <c r="AQ6" s="53" t="s">
        <v>19</v>
      </c>
      <c r="AR6" s="39">
        <f>((AS6+AS13)/AT6)^(1/AS1)/$A$20</f>
        <v>1.3550584106894901</v>
      </c>
      <c r="AS6" s="41">
        <v>111601</v>
      </c>
      <c r="AT6" s="42">
        <v>28791</v>
      </c>
      <c r="AU6" s="8"/>
      <c r="AV6" s="8"/>
      <c r="AW6" s="53" t="s">
        <v>19</v>
      </c>
      <c r="AX6" s="39">
        <f>((AY6+AY13)/AZ6)^(1/AY1)/$A$20</f>
        <v>1.0138409606137835</v>
      </c>
      <c r="AY6" s="41">
        <v>344085</v>
      </c>
      <c r="AZ6" s="42">
        <v>323888</v>
      </c>
      <c r="BA6" s="8"/>
      <c r="BB6" s="8"/>
      <c r="BC6" s="53" t="s">
        <v>19</v>
      </c>
      <c r="BD6" s="39">
        <f>((BE6+BE13)/BF6)^(1/BE1)/$A$20</f>
        <v>1.1036410456254411</v>
      </c>
      <c r="BE6" s="41">
        <v>5313</v>
      </c>
      <c r="BF6" s="42">
        <v>3222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</row>
    <row r="7" spans="1:84">
      <c r="G7" s="29">
        <v>1.06</v>
      </c>
      <c r="H7" s="30">
        <f t="shared" si="0"/>
        <v>4.7640640000000012</v>
      </c>
      <c r="I7" s="29">
        <v>1.1599999999999999</v>
      </c>
      <c r="J7" s="30">
        <f t="shared" si="1"/>
        <v>6.2435839999999985</v>
      </c>
      <c r="K7" s="29">
        <v>1.26</v>
      </c>
      <c r="L7" s="30">
        <f t="shared" si="2"/>
        <v>8.0015040000000006</v>
      </c>
      <c r="M7" s="29">
        <v>1.36</v>
      </c>
      <c r="N7" s="30">
        <f t="shared" si="3"/>
        <v>10.061824000000003</v>
      </c>
      <c r="O7" s="29">
        <v>1.46</v>
      </c>
      <c r="P7" s="30">
        <f t="shared" si="4"/>
        <v>12.448543999999998</v>
      </c>
      <c r="Q7" s="29">
        <v>1.56</v>
      </c>
      <c r="R7" s="30">
        <f t="shared" si="5"/>
        <v>15.185664000000001</v>
      </c>
      <c r="S7" s="8"/>
      <c r="T7" s="8"/>
      <c r="U7" s="61"/>
      <c r="V7" s="8"/>
      <c r="W7" s="8"/>
      <c r="X7" s="8"/>
      <c r="Y7" s="53" t="s">
        <v>20</v>
      </c>
      <c r="Z7" s="40">
        <f>Z4/AA6</f>
        <v>5.4693274745363345</v>
      </c>
      <c r="AA7" s="8"/>
      <c r="AB7" s="38"/>
      <c r="AC7" s="8"/>
      <c r="AD7" s="61"/>
      <c r="AE7" s="53" t="s">
        <v>20</v>
      </c>
      <c r="AF7" s="40">
        <f>AF4/AG6</f>
        <v>4.003197482403329</v>
      </c>
      <c r="AG7" s="8"/>
      <c r="AH7" s="38"/>
      <c r="AI7" s="8"/>
      <c r="AJ7" s="8"/>
      <c r="AK7" s="53" t="s">
        <v>20</v>
      </c>
      <c r="AL7" s="40">
        <f>AL4/AM6</f>
        <v>3.2174880859793822</v>
      </c>
      <c r="AM7" s="8"/>
      <c r="AN7" s="38"/>
      <c r="AO7" s="8"/>
      <c r="AP7" s="8"/>
      <c r="AQ7" s="53" t="s">
        <v>20</v>
      </c>
      <c r="AR7" s="40">
        <f>AR4/AS6</f>
        <v>23.61137445004973</v>
      </c>
      <c r="AS7" s="8"/>
      <c r="AT7" s="38"/>
      <c r="AU7" s="8"/>
      <c r="AV7" s="8"/>
      <c r="AW7" s="53" t="s">
        <v>20</v>
      </c>
      <c r="AX7" s="40">
        <f>AX4/AY6</f>
        <v>9.3950942354360123</v>
      </c>
      <c r="AY7" s="8"/>
      <c r="AZ7" s="38"/>
      <c r="BA7" s="8"/>
      <c r="BB7" s="8"/>
      <c r="BC7" s="53" t="s">
        <v>20</v>
      </c>
      <c r="BD7" s="40">
        <f>BD4/BE6</f>
        <v>2.3057933370976849</v>
      </c>
      <c r="BE7" s="8"/>
      <c r="BF7" s="38"/>
      <c r="BG7" s="8"/>
      <c r="BH7" s="8"/>
      <c r="BI7" s="8"/>
      <c r="BJ7" s="8"/>
      <c r="BK7" s="61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</row>
    <row r="8" spans="1:84">
      <c r="G8" s="29">
        <v>1.07</v>
      </c>
      <c r="H8" s="30">
        <f t="shared" si="0"/>
        <v>4.9001720000000004</v>
      </c>
      <c r="I8" s="29">
        <v>1.17</v>
      </c>
      <c r="J8" s="30">
        <f t="shared" si="1"/>
        <v>6.4064519999999989</v>
      </c>
      <c r="K8" s="29">
        <v>1.27</v>
      </c>
      <c r="L8" s="30">
        <f t="shared" si="2"/>
        <v>8.1935319999999994</v>
      </c>
      <c r="M8" s="8">
        <v>1.37</v>
      </c>
      <c r="N8" s="30">
        <f t="shared" si="3"/>
        <v>10.285412000000003</v>
      </c>
      <c r="O8" s="8">
        <v>1.47</v>
      </c>
      <c r="P8" s="30">
        <f t="shared" si="4"/>
        <v>12.706091999999998</v>
      </c>
      <c r="Q8" s="8">
        <v>1.57</v>
      </c>
      <c r="R8" s="30">
        <f t="shared" si="5"/>
        <v>15.479572000000001</v>
      </c>
      <c r="S8" s="8"/>
      <c r="T8" s="8"/>
      <c r="U8" s="8"/>
      <c r="V8" s="8"/>
      <c r="W8" s="8"/>
      <c r="X8" s="8"/>
      <c r="Y8" s="56" t="s">
        <v>16</v>
      </c>
      <c r="Z8" s="39">
        <f>Y1 *$A$21</f>
        <v>2.7353063289975474</v>
      </c>
      <c r="AA8" s="8"/>
      <c r="AB8" s="40">
        <f>SUM(Z9:AB9)/3</f>
        <v>3.6318094538228691</v>
      </c>
      <c r="AC8" s="8"/>
      <c r="AD8" s="8"/>
      <c r="AE8" s="56" t="s">
        <v>16</v>
      </c>
      <c r="AF8" s="39">
        <f>AE1 *$A$21</f>
        <v>3.9368254591213985</v>
      </c>
      <c r="AG8" s="8"/>
      <c r="AH8" s="40">
        <f>SUM(AF9:AH9)/3</f>
        <v>4.3828569082225988</v>
      </c>
      <c r="AI8" s="8"/>
      <c r="AJ8" s="8"/>
      <c r="AK8" s="56" t="s">
        <v>16</v>
      </c>
      <c r="AL8" s="39">
        <f>AK1 *$A$21</f>
        <v>1.7322032020134153</v>
      </c>
      <c r="AM8" s="8"/>
      <c r="AN8" s="40">
        <f>SUM(AL9:AN9)/3</f>
        <v>2.2458911236114347</v>
      </c>
      <c r="AO8" s="8"/>
      <c r="AP8" s="8"/>
      <c r="AQ8" s="56" t="s">
        <v>16</v>
      </c>
      <c r="AR8" s="39">
        <f>AQ1 *$A$21</f>
        <v>11.023111285539915</v>
      </c>
      <c r="AS8" s="8"/>
      <c r="AT8" s="40">
        <f>SUM(AR9:AT9)/3</f>
        <v>20.86813610048404</v>
      </c>
      <c r="AU8" s="8"/>
      <c r="AV8" s="8"/>
      <c r="AW8" s="56" t="s">
        <v>16</v>
      </c>
      <c r="AX8" s="39">
        <f>AW1 *$A$21</f>
        <v>4.251771495851111</v>
      </c>
      <c r="AY8" s="8"/>
      <c r="AZ8" s="40">
        <f>SUM(AX9:AZ9)/3</f>
        <v>4.3705584856352235</v>
      </c>
      <c r="BA8" s="8"/>
      <c r="BB8" s="8"/>
      <c r="BC8" s="56" t="s">
        <v>16</v>
      </c>
      <c r="BD8" s="39">
        <f>BC1 *$A$21</f>
        <v>1.8896762203782711</v>
      </c>
      <c r="BE8" s="8"/>
      <c r="BF8" s="40">
        <f>SUM(BD9:BF9)/3</f>
        <v>2.3091373487765785</v>
      </c>
      <c r="BG8" s="8"/>
      <c r="BH8" s="8"/>
      <c r="BI8" s="8"/>
      <c r="BJ8" s="8"/>
      <c r="BK8" s="61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</row>
    <row r="9" spans="1:84">
      <c r="G9" s="29">
        <v>1.08</v>
      </c>
      <c r="H9" s="30">
        <f t="shared" si="0"/>
        <v>5.0388480000000007</v>
      </c>
      <c r="I9" s="29">
        <v>1.18</v>
      </c>
      <c r="J9" s="30">
        <f t="shared" si="1"/>
        <v>6.5721280000000002</v>
      </c>
      <c r="K9" s="29">
        <v>1.28</v>
      </c>
      <c r="L9" s="30">
        <f t="shared" si="2"/>
        <v>8.3886080000000014</v>
      </c>
      <c r="M9" s="29">
        <v>1.38</v>
      </c>
      <c r="N9" s="30">
        <f t="shared" si="3"/>
        <v>10.512287999999998</v>
      </c>
      <c r="O9" s="29">
        <v>1.48</v>
      </c>
      <c r="P9" s="30">
        <f t="shared" si="4"/>
        <v>12.967167999999999</v>
      </c>
      <c r="Q9" s="29">
        <v>1.58</v>
      </c>
      <c r="R9" s="30">
        <f t="shared" si="5"/>
        <v>15.777248000000005</v>
      </c>
      <c r="S9" s="8"/>
      <c r="T9" s="8"/>
      <c r="U9" s="8"/>
      <c r="V9" s="8"/>
      <c r="W9" s="8"/>
      <c r="X9" s="68"/>
      <c r="Y9" s="52"/>
      <c r="Z9" s="39">
        <f>Z6*Z8</f>
        <v>3.141790902272017</v>
      </c>
      <c r="AA9" s="39">
        <f>Z9*Z6</f>
        <v>3.6086817658981349</v>
      </c>
      <c r="AB9" s="40">
        <f>AA9*Z6</f>
        <v>4.1449556932984537</v>
      </c>
      <c r="AC9" s="8"/>
      <c r="AD9" s="8"/>
      <c r="AE9" s="52"/>
      <c r="AF9" s="39">
        <f>AF6*AF8</f>
        <v>4.1519009063774082</v>
      </c>
      <c r="AG9" s="39">
        <f>AF9*AF6</f>
        <v>4.3787262898428567</v>
      </c>
      <c r="AH9" s="40">
        <f>AG9*AF6</f>
        <v>4.6179435284475314</v>
      </c>
      <c r="AI9" s="8"/>
      <c r="AJ9" s="8"/>
      <c r="AK9" s="52"/>
      <c r="AL9" s="39">
        <f>AL6*AL8</f>
        <v>1.9670929977953522</v>
      </c>
      <c r="AM9" s="39">
        <f>AL9*AL6</f>
        <v>2.2338342623301179</v>
      </c>
      <c r="AN9" s="40">
        <f>AM9*AL6</f>
        <v>2.5367461107088345</v>
      </c>
      <c r="AO9" s="8"/>
      <c r="AP9" s="8"/>
      <c r="AQ9" s="52"/>
      <c r="AR9" s="39">
        <f>AR6*AR8</f>
        <v>14.936959659437099</v>
      </c>
      <c r="AS9" s="39">
        <f>AR9*AR6</f>
        <v>20.24045281664986</v>
      </c>
      <c r="AT9" s="40">
        <f>AS9*AR6</f>
        <v>27.426995825365172</v>
      </c>
      <c r="AU9" s="8"/>
      <c r="AV9" s="8"/>
      <c r="AW9" s="52"/>
      <c r="AX9" s="39">
        <f>AX6*AX8</f>
        <v>4.3106200976639935</v>
      </c>
      <c r="AY9" s="39">
        <f>AX9*AX6</f>
        <v>4.3702832206567441</v>
      </c>
      <c r="AZ9" s="40">
        <f>AY9*AX6</f>
        <v>4.430772138584933</v>
      </c>
      <c r="BA9" s="8"/>
      <c r="BB9" s="8"/>
      <c r="BC9" s="52"/>
      <c r="BD9" s="39">
        <f>BD6*BD8</f>
        <v>2.0855242397518063</v>
      </c>
      <c r="BE9" s="39">
        <f>BD9*BD6</f>
        <v>2.3016701526368868</v>
      </c>
      <c r="BF9" s="40">
        <f>BE9*BD6</f>
        <v>2.5402176539410424</v>
      </c>
      <c r="BG9" s="8"/>
      <c r="BH9" s="8"/>
      <c r="BI9" s="8"/>
      <c r="BJ9" s="8"/>
      <c r="BK9" s="61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</row>
    <row r="10" spans="1:84">
      <c r="A10" s="30">
        <v>4</v>
      </c>
      <c r="C10" s="20" t="s">
        <v>75</v>
      </c>
      <c r="G10" s="29">
        <v>1.0900000000000001</v>
      </c>
      <c r="H10" s="30">
        <f t="shared" si="0"/>
        <v>5.1801160000000008</v>
      </c>
      <c r="I10" s="29">
        <v>1.19</v>
      </c>
      <c r="J10" s="30">
        <f t="shared" si="1"/>
        <v>6.7406359999999994</v>
      </c>
      <c r="K10" s="29">
        <v>1.29</v>
      </c>
      <c r="L10" s="30">
        <f t="shared" si="2"/>
        <v>8.5867560000000012</v>
      </c>
      <c r="M10" s="8">
        <v>1.39</v>
      </c>
      <c r="N10" s="30">
        <f t="shared" si="3"/>
        <v>10.742475999999998</v>
      </c>
      <c r="O10" s="8">
        <v>1.49</v>
      </c>
      <c r="P10" s="30">
        <f t="shared" si="4"/>
        <v>13.231795999999997</v>
      </c>
      <c r="Q10" s="8">
        <v>1.59</v>
      </c>
      <c r="R10" s="30">
        <f t="shared" si="5"/>
        <v>16.078716000000004</v>
      </c>
      <c r="S10" s="8"/>
      <c r="T10" s="8"/>
      <c r="U10" s="8"/>
      <c r="V10" s="8"/>
      <c r="W10" s="8"/>
      <c r="X10" s="8"/>
      <c r="Y10" s="52"/>
      <c r="Z10" s="8"/>
      <c r="AA10" s="8"/>
      <c r="AB10" s="38"/>
      <c r="AC10" s="8"/>
      <c r="AD10" s="8"/>
      <c r="AE10" s="52"/>
      <c r="AF10" s="8"/>
      <c r="AG10" s="8"/>
      <c r="AH10" s="38"/>
      <c r="AI10" s="8"/>
      <c r="AJ10" s="8"/>
      <c r="AK10" s="52"/>
      <c r="AL10" s="8"/>
      <c r="AM10" s="8"/>
      <c r="AN10" s="38"/>
      <c r="AO10" s="8"/>
      <c r="AP10" s="8"/>
      <c r="AQ10" s="52"/>
      <c r="AR10" s="8"/>
      <c r="AS10" s="8"/>
      <c r="AT10" s="38"/>
      <c r="AU10" s="8"/>
      <c r="AV10" s="8"/>
      <c r="AW10" s="52"/>
      <c r="AX10" s="8"/>
      <c r="AY10" s="8"/>
      <c r="AZ10" s="38"/>
      <c r="BA10" s="8"/>
      <c r="BB10" s="8"/>
      <c r="BC10" s="52"/>
      <c r="BD10" s="8"/>
      <c r="BE10" s="8"/>
      <c r="BF10" s="3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</row>
    <row r="11" spans="1:84">
      <c r="A11" s="30">
        <f>LOG(2,A12)</f>
        <v>3.6362704486708597</v>
      </c>
      <c r="I11" s="20"/>
      <c r="J11" s="2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52"/>
      <c r="Z11" s="45" t="s">
        <v>1</v>
      </c>
      <c r="AA11" s="45" t="s">
        <v>6</v>
      </c>
      <c r="AB11" s="46" t="s">
        <v>15</v>
      </c>
      <c r="AC11" s="8"/>
      <c r="AD11" s="8"/>
      <c r="AE11" s="52"/>
      <c r="AF11" s="45" t="s">
        <v>1</v>
      </c>
      <c r="AG11" s="45" t="s">
        <v>6</v>
      </c>
      <c r="AH11" s="46" t="s">
        <v>15</v>
      </c>
      <c r="AI11" s="8"/>
      <c r="AJ11" s="8"/>
      <c r="AK11" s="52"/>
      <c r="AL11" s="45" t="s">
        <v>1</v>
      </c>
      <c r="AM11" s="45" t="s">
        <v>6</v>
      </c>
      <c r="AN11" s="46" t="s">
        <v>15</v>
      </c>
      <c r="AO11" s="8"/>
      <c r="AP11" s="8"/>
      <c r="AQ11" s="52"/>
      <c r="AR11" s="45" t="s">
        <v>1</v>
      </c>
      <c r="AS11" s="45" t="s">
        <v>6</v>
      </c>
      <c r="AT11" s="46" t="s">
        <v>15</v>
      </c>
      <c r="AU11" s="8"/>
      <c r="AV11" s="8"/>
      <c r="AW11" s="52"/>
      <c r="AX11" s="45" t="s">
        <v>1</v>
      </c>
      <c r="AY11" s="45" t="s">
        <v>6</v>
      </c>
      <c r="AZ11" s="46" t="s">
        <v>15</v>
      </c>
      <c r="BA11" s="8"/>
      <c r="BB11" s="8"/>
      <c r="BC11" s="52"/>
      <c r="BD11" s="45" t="s">
        <v>1</v>
      </c>
      <c r="BE11" s="45" t="s">
        <v>6</v>
      </c>
      <c r="BF11" s="46" t="s">
        <v>15</v>
      </c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</row>
    <row r="12" spans="1:84">
      <c r="A12" s="30">
        <v>1.21</v>
      </c>
      <c r="C12" t="s">
        <v>74</v>
      </c>
      <c r="I12" s="20"/>
      <c r="J12" s="20"/>
      <c r="K12" s="8"/>
      <c r="L12" s="62"/>
      <c r="M12" s="8"/>
      <c r="N12" s="8"/>
      <c r="O12" s="8"/>
      <c r="P12" s="8"/>
      <c r="Q12" s="8"/>
      <c r="R12" s="62"/>
      <c r="S12" s="8"/>
      <c r="T12" s="8"/>
      <c r="U12" s="8"/>
      <c r="V12" s="8"/>
      <c r="W12" s="8"/>
      <c r="X12" s="8"/>
      <c r="Y12" s="57" t="s">
        <v>4</v>
      </c>
      <c r="Z12" s="47">
        <f>Z8/Z7</f>
        <v>0.50011749008125261</v>
      </c>
      <c r="AA12" s="49">
        <f>AB8/Z7</f>
        <v>0.66403218142112763</v>
      </c>
      <c r="AB12" s="48">
        <f>AB9/Z7</f>
        <v>0.75785472941530985</v>
      </c>
      <c r="AC12" s="8"/>
      <c r="AD12" s="8"/>
      <c r="AE12" s="57" t="s">
        <v>4</v>
      </c>
      <c r="AF12" s="47">
        <f>AF8/AF7</f>
        <v>0.98342024754619806</v>
      </c>
      <c r="AG12" s="49">
        <f>AH8/AF7</f>
        <v>1.094839044910505</v>
      </c>
      <c r="AH12" s="48">
        <f>AH9/AF7</f>
        <v>1.1535637571582249</v>
      </c>
      <c r="AI12" s="8"/>
      <c r="AJ12" s="8"/>
      <c r="AK12" s="57" t="s">
        <v>4</v>
      </c>
      <c r="AL12" s="47">
        <f>AL8/AL7</f>
        <v>0.53837128708004023</v>
      </c>
      <c r="AM12" s="49">
        <f>AN8/AL7</f>
        <v>0.69802624395042645</v>
      </c>
      <c r="AN12" s="48">
        <f>AN9/AL7</f>
        <v>0.78842439907175776</v>
      </c>
      <c r="AO12" s="8"/>
      <c r="AP12" s="8"/>
      <c r="AQ12" s="57" t="s">
        <v>4</v>
      </c>
      <c r="AR12" s="47">
        <f>AR8/AR7</f>
        <v>0.46685597693008074</v>
      </c>
      <c r="AS12" s="49">
        <f>AT8/AR7</f>
        <v>0.88381708335662301</v>
      </c>
      <c r="AT12" s="48">
        <f>AT9/AR7</f>
        <v>1.1616009852957714</v>
      </c>
      <c r="AU12" s="8"/>
      <c r="AV12" s="8"/>
      <c r="AW12" s="57" t="s">
        <v>4</v>
      </c>
      <c r="AX12" s="47">
        <f>AX8/AX7</f>
        <v>0.45255229903011107</v>
      </c>
      <c r="AY12" s="49">
        <f>AZ8/AX7</f>
        <v>0.46519581135764865</v>
      </c>
      <c r="AZ12" s="48">
        <f>AZ9/AX7</f>
        <v>0.47160486393772799</v>
      </c>
      <c r="BA12" s="8"/>
      <c r="BB12" s="8"/>
      <c r="BC12" s="57" t="s">
        <v>4</v>
      </c>
      <c r="BD12" s="47">
        <f>BD8/BD7</f>
        <v>0.81953407964861991</v>
      </c>
      <c r="BE12" s="49">
        <f>BF8/BD7</f>
        <v>1.0014502651322181</v>
      </c>
      <c r="BF12" s="48">
        <f>BF9/BD7</f>
        <v>1.1016675315483515</v>
      </c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</row>
    <row r="13" spans="1:84">
      <c r="I13" s="29"/>
      <c r="J13" s="29">
        <v>1.6</v>
      </c>
      <c r="K13" s="29">
        <v>1.65</v>
      </c>
      <c r="L13" s="29">
        <v>1.7</v>
      </c>
      <c r="M13" s="29">
        <v>1.75</v>
      </c>
      <c r="N13" s="29">
        <v>1.8</v>
      </c>
      <c r="O13" s="29">
        <v>1.85</v>
      </c>
      <c r="P13" s="29">
        <v>1.9</v>
      </c>
      <c r="Q13" s="29">
        <v>1.95</v>
      </c>
      <c r="R13" s="29">
        <v>2</v>
      </c>
      <c r="S13" s="8"/>
      <c r="T13" s="8"/>
      <c r="U13" s="8"/>
      <c r="V13" s="8"/>
      <c r="W13" s="8"/>
      <c r="X13" s="8"/>
      <c r="Y13" s="29" t="s">
        <v>87</v>
      </c>
      <c r="Z13" s="8">
        <v>10.71</v>
      </c>
      <c r="AA13" s="70">
        <f>AB3*Z13</f>
        <v>79628.850000000006</v>
      </c>
      <c r="AB13" s="69"/>
      <c r="AC13" s="8"/>
      <c r="AD13" s="8"/>
      <c r="AE13" s="29" t="s">
        <v>87</v>
      </c>
      <c r="AF13" s="8">
        <v>0.8</v>
      </c>
      <c r="AG13" s="70">
        <f>AH3*AF13</f>
        <v>9752</v>
      </c>
      <c r="AH13" s="69"/>
      <c r="AI13" s="8"/>
      <c r="AJ13" s="8"/>
      <c r="AK13" s="29" t="s">
        <v>87</v>
      </c>
      <c r="AL13" s="8">
        <v>0</v>
      </c>
      <c r="AM13" s="70">
        <f>AN3*AL13</f>
        <v>0</v>
      </c>
      <c r="AN13" s="69"/>
      <c r="AO13" s="8"/>
      <c r="AP13" s="8"/>
      <c r="AQ13" s="29" t="s">
        <v>87</v>
      </c>
      <c r="AR13" s="8">
        <v>0.08</v>
      </c>
      <c r="AS13" s="70">
        <f>AT3*AR13</f>
        <v>1958.16</v>
      </c>
      <c r="AT13" s="69"/>
      <c r="AU13" s="8"/>
      <c r="AV13" s="8"/>
      <c r="AW13" s="29" t="s">
        <v>87</v>
      </c>
      <c r="AX13" s="8">
        <v>3.72</v>
      </c>
      <c r="AY13" s="70">
        <f>AZ3*AX13</f>
        <v>56235.240000000005</v>
      </c>
      <c r="AZ13" s="69"/>
      <c r="BA13" s="8"/>
      <c r="BB13" s="8"/>
      <c r="BC13" s="29" t="s">
        <v>87</v>
      </c>
      <c r="BD13" s="8">
        <v>32</v>
      </c>
      <c r="BE13" s="70">
        <f>BF3*BD13</f>
        <v>279.04000000000002</v>
      </c>
      <c r="BF13" s="69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</row>
    <row r="14" spans="1:84">
      <c r="I14" s="30"/>
      <c r="J14" s="30">
        <f t="shared" ref="J14:R14" si="6">$A10/(1/J13^3)</f>
        <v>16.384000000000004</v>
      </c>
      <c r="K14" s="30">
        <f t="shared" si="6"/>
        <v>17.968499999999999</v>
      </c>
      <c r="L14" s="30">
        <f t="shared" si="6"/>
        <v>19.651999999999997</v>
      </c>
      <c r="M14" s="30">
        <f t="shared" si="6"/>
        <v>21.4375</v>
      </c>
      <c r="N14" s="30">
        <f t="shared" si="6"/>
        <v>23.328000000000003</v>
      </c>
      <c r="O14" s="30">
        <f t="shared" si="6"/>
        <v>25.326500000000003</v>
      </c>
      <c r="P14" s="30">
        <f t="shared" si="6"/>
        <v>27.435999999999996</v>
      </c>
      <c r="Q14" s="30">
        <f t="shared" si="6"/>
        <v>29.659500000000001</v>
      </c>
      <c r="R14" s="30">
        <f t="shared" si="6"/>
        <v>32</v>
      </c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</row>
    <row r="15" spans="1:84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</row>
    <row r="16" spans="1:84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41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</row>
    <row r="17" spans="1:84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T17" s="8"/>
      <c r="U17" s="8"/>
      <c r="V17" s="8"/>
      <c r="W17" s="8"/>
      <c r="X17" s="8"/>
      <c r="Y17" s="41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</row>
    <row r="18" spans="1:84">
      <c r="B18" s="8"/>
      <c r="C18" s="8"/>
      <c r="D18" s="8"/>
      <c r="E18" s="8"/>
      <c r="F18" s="8"/>
      <c r="G18" s="61"/>
      <c r="H18" s="8"/>
      <c r="I18" s="8"/>
      <c r="J18" s="8"/>
      <c r="K18" s="8"/>
      <c r="L18" s="8"/>
      <c r="M18" s="8"/>
      <c r="O18" s="20"/>
      <c r="P18" s="20"/>
      <c r="Q18" s="20"/>
      <c r="R18" s="20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</row>
    <row r="19" spans="1:84">
      <c r="B19" s="8"/>
      <c r="C19" s="8"/>
      <c r="D19" s="8"/>
      <c r="E19" s="8"/>
      <c r="F19" s="8"/>
      <c r="G19" s="61"/>
      <c r="H19" s="8"/>
      <c r="I19" s="8"/>
      <c r="J19" s="8"/>
      <c r="K19" s="8"/>
      <c r="L19" s="8"/>
      <c r="M19" s="8"/>
      <c r="O19" s="20"/>
      <c r="P19" s="20"/>
      <c r="Q19" s="20"/>
      <c r="R19" s="20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</row>
    <row r="20" spans="1:84">
      <c r="A20">
        <v>1.04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O20" s="8"/>
      <c r="P20" s="8"/>
      <c r="Q20" s="8"/>
      <c r="R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</row>
    <row r="21" spans="1:84" ht="16.5">
      <c r="A21" s="30">
        <f>LOG(2,A22)</f>
        <v>15.747301836485594</v>
      </c>
      <c r="B21" s="8"/>
      <c r="C21" s="8"/>
      <c r="D21" s="8"/>
      <c r="E21" s="41"/>
      <c r="F21" s="41"/>
      <c r="G21" s="8"/>
      <c r="H21" s="8"/>
      <c r="I21" s="8"/>
      <c r="J21" s="8"/>
      <c r="K21" s="41"/>
      <c r="L21" s="41"/>
      <c r="M21" s="8"/>
      <c r="O21" s="8"/>
      <c r="P21" s="8"/>
      <c r="Q21" s="41"/>
      <c r="R21" s="41"/>
      <c r="T21" s="8"/>
      <c r="U21" s="8"/>
      <c r="V21" s="8"/>
      <c r="W21" s="41"/>
      <c r="X21" s="41"/>
      <c r="Y21" s="8"/>
      <c r="Z21" s="8"/>
      <c r="AA21" s="8"/>
      <c r="AB21" s="8"/>
      <c r="AC21" s="41"/>
      <c r="AD21" s="41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63"/>
      <c r="AV21" s="63"/>
      <c r="AW21" s="63"/>
      <c r="AX21" s="63"/>
      <c r="AY21" s="63"/>
      <c r="AZ21" s="63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</row>
    <row r="22" spans="1:84">
      <c r="A22" s="30">
        <v>1.0449999999999999</v>
      </c>
      <c r="C22" s="29"/>
      <c r="E22" s="29"/>
      <c r="G22" s="29"/>
      <c r="I22" s="29"/>
      <c r="T22" s="8"/>
      <c r="Y22" s="8"/>
      <c r="Z22" s="8"/>
      <c r="AA22" s="8"/>
      <c r="AB22" s="8"/>
      <c r="AC22" s="41"/>
      <c r="AD22" s="41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41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</row>
    <row r="23" spans="1:84">
      <c r="C23" s="30"/>
      <c r="E23" s="30"/>
      <c r="G23" s="30"/>
      <c r="I23" s="30"/>
      <c r="T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41"/>
      <c r="AV23" s="8"/>
      <c r="AW23" s="8"/>
      <c r="AX23" s="41"/>
      <c r="AY23" s="41"/>
      <c r="AZ23" s="41"/>
      <c r="BA23" s="41"/>
      <c r="BB23" s="41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</row>
    <row r="24" spans="1:84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O24" s="8"/>
      <c r="P24" s="8"/>
      <c r="Q24" s="8"/>
      <c r="R24" s="8"/>
      <c r="T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41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</row>
    <row r="25" spans="1:84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O25" s="8"/>
      <c r="P25" s="8"/>
      <c r="Q25" s="8"/>
      <c r="R25" s="8"/>
      <c r="S25" s="7"/>
      <c r="T25" s="8"/>
      <c r="Y25" s="37"/>
      <c r="Z25" s="37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37"/>
      <c r="AR25" s="37"/>
      <c r="AS25" s="8"/>
      <c r="AT25" s="8"/>
      <c r="AU25" s="41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</row>
    <row r="26" spans="1:84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O26" s="8"/>
      <c r="P26" s="8"/>
      <c r="Q26" s="8"/>
      <c r="R26" s="8"/>
      <c r="S26" s="20"/>
      <c r="T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37"/>
      <c r="AR26" s="37"/>
      <c r="AS26" s="8"/>
      <c r="AT26" s="8"/>
      <c r="AU26" s="41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</row>
    <row r="27" spans="1:84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O27" s="8"/>
      <c r="P27" s="8"/>
      <c r="Q27" s="8"/>
      <c r="R27" s="8"/>
      <c r="S27" s="20"/>
      <c r="T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37"/>
      <c r="AR27" s="37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</row>
    <row r="28" spans="1:84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O28" s="8"/>
      <c r="P28" s="8"/>
      <c r="Q28" s="8"/>
      <c r="R28" s="8"/>
      <c r="S28" s="7"/>
      <c r="T28" s="8"/>
      <c r="Y28" s="37"/>
      <c r="Z28" s="37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37"/>
      <c r="AR28" s="37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</row>
    <row r="29" spans="1:84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O29" s="8"/>
      <c r="P29" s="8"/>
      <c r="Q29" s="8"/>
      <c r="R29" s="8"/>
      <c r="S29" s="7"/>
      <c r="T29" s="8"/>
      <c r="Y29" s="37"/>
      <c r="Z29" s="37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37"/>
      <c r="AR29" s="37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</row>
    <row r="30" spans="1:84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O30" s="8"/>
      <c r="P30" s="8"/>
      <c r="Q30" s="8"/>
      <c r="R30" s="8"/>
      <c r="T30" s="8"/>
      <c r="Y30" s="8"/>
      <c r="Z30" s="37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37"/>
      <c r="AR30" s="37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</row>
    <row r="31" spans="1:84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37"/>
      <c r="N31" s="7"/>
      <c r="O31" s="8"/>
      <c r="P31" s="8"/>
      <c r="Q31" s="8"/>
      <c r="R31" s="8"/>
      <c r="S31" s="8"/>
      <c r="T31" s="8"/>
      <c r="Y31" s="8"/>
      <c r="Z31" s="37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37"/>
      <c r="AR31" s="37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</row>
    <row r="32" spans="1:84"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37"/>
      <c r="N32" s="7"/>
      <c r="O32" s="8"/>
      <c r="P32" s="8"/>
      <c r="Q32" s="8"/>
      <c r="R32" s="8"/>
      <c r="S32" s="8"/>
      <c r="T32" s="8"/>
      <c r="Y32" s="8"/>
      <c r="Z32" s="37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37"/>
      <c r="AR32" s="37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</row>
    <row r="33" spans="2:84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37"/>
      <c r="N33" s="20"/>
      <c r="O33" s="8"/>
      <c r="P33" s="8"/>
      <c r="Q33" s="8"/>
      <c r="R33" s="8"/>
      <c r="S33" s="8"/>
      <c r="T33" s="8"/>
      <c r="Y33" s="61"/>
      <c r="Z33" s="8"/>
      <c r="AA33" s="8"/>
      <c r="AB33" s="8"/>
      <c r="AC33" s="8"/>
      <c r="AD33" s="8"/>
      <c r="AE33" s="61"/>
      <c r="AF33" s="61"/>
      <c r="AG33" s="61"/>
      <c r="AH33" s="37"/>
      <c r="AI33" s="37"/>
      <c r="AJ33" s="37"/>
      <c r="AK33" s="8"/>
      <c r="AL33" s="8"/>
      <c r="AM33" s="8"/>
      <c r="AN33" s="8"/>
      <c r="AO33" s="37"/>
      <c r="AP33" s="37"/>
      <c r="AQ33" s="37"/>
      <c r="AR33" s="37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Q33" s="20"/>
      <c r="BR33" s="20"/>
      <c r="BS33" s="20"/>
      <c r="BT33" s="20"/>
      <c r="BW33" s="20"/>
      <c r="BX33" s="20"/>
      <c r="BY33" s="20"/>
      <c r="BZ33" s="20"/>
      <c r="CC33" s="20"/>
      <c r="CD33" s="20"/>
      <c r="CE33" s="20"/>
      <c r="CF33" s="20"/>
    </row>
    <row r="34" spans="2:84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37"/>
      <c r="N34" s="20"/>
      <c r="O34" s="8"/>
      <c r="P34" s="8"/>
      <c r="Q34" s="8"/>
      <c r="R34" s="8"/>
      <c r="S34" s="8"/>
      <c r="T34" s="8"/>
      <c r="Y34" s="8"/>
      <c r="Z34" s="37"/>
      <c r="AA34" s="8"/>
      <c r="AB34" s="8"/>
      <c r="AC34" s="8"/>
      <c r="AD34" s="8"/>
      <c r="AE34" s="37"/>
      <c r="AF34" s="37"/>
      <c r="AG34" s="37"/>
      <c r="AH34" s="37"/>
      <c r="AI34" s="37"/>
      <c r="AJ34" s="37"/>
      <c r="AK34" s="8"/>
      <c r="AL34" s="8"/>
      <c r="AM34" s="8"/>
      <c r="AN34" s="8"/>
      <c r="AO34" s="8"/>
      <c r="AP34" s="8"/>
      <c r="AQ34" s="37"/>
      <c r="AR34" s="37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W34" s="20"/>
      <c r="BX34" s="20"/>
      <c r="BY34" s="20"/>
      <c r="BZ34" s="20"/>
      <c r="CC34" s="20"/>
      <c r="CD34" s="20"/>
      <c r="CE34" s="20"/>
      <c r="CF34" s="20"/>
    </row>
    <row r="35" spans="2:84"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37"/>
      <c r="N35" s="20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37"/>
      <c r="AA35" s="8"/>
      <c r="AB35" s="8"/>
      <c r="AC35" s="8"/>
      <c r="AD35" s="8"/>
      <c r="AE35" s="37"/>
      <c r="AF35" s="37"/>
      <c r="AG35" s="8"/>
      <c r="AH35" s="8"/>
      <c r="AI35" s="8"/>
      <c r="AJ35" s="8"/>
      <c r="AK35" s="8"/>
      <c r="AL35" s="8"/>
      <c r="AM35" s="8"/>
      <c r="AN35" s="8"/>
      <c r="AO35" s="37"/>
      <c r="AP35" s="37"/>
      <c r="AQ35" s="37"/>
      <c r="AR35" s="37"/>
      <c r="AS35" s="8"/>
      <c r="AT35" s="8"/>
      <c r="AU35" s="37"/>
      <c r="AV35" s="37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</row>
    <row r="36" spans="2:84" ht="16.5">
      <c r="B36" s="8"/>
      <c r="C36" s="8"/>
      <c r="D36" s="8"/>
      <c r="E36" s="8"/>
      <c r="F36" s="8"/>
      <c r="G36" s="67"/>
      <c r="H36" s="67"/>
      <c r="I36" s="8"/>
      <c r="J36" s="8"/>
      <c r="K36" s="8"/>
      <c r="L36" s="8"/>
      <c r="M36" s="37"/>
      <c r="N36" s="20"/>
      <c r="O36" s="20"/>
      <c r="P36" s="20"/>
      <c r="Q36" s="8"/>
      <c r="R36" s="24"/>
      <c r="S36" s="8"/>
      <c r="T36" s="8"/>
      <c r="U36" s="8"/>
      <c r="V36" s="8"/>
      <c r="W36" s="8"/>
      <c r="X36" s="8"/>
      <c r="Y36" s="8"/>
      <c r="Z36" s="8"/>
      <c r="AA36" s="37"/>
      <c r="AB36" s="37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37"/>
      <c r="AR36" s="37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</row>
    <row r="37" spans="2:84">
      <c r="B37" s="8"/>
      <c r="C37" s="8"/>
      <c r="D37" s="8"/>
      <c r="E37" s="8"/>
      <c r="F37" s="8"/>
      <c r="G37" s="61"/>
      <c r="H37" s="41"/>
      <c r="I37" s="8"/>
      <c r="J37" s="8"/>
      <c r="K37" s="8"/>
      <c r="L37" s="8"/>
      <c r="M37" s="37"/>
      <c r="N37" s="20"/>
      <c r="O37" s="20"/>
      <c r="P37" s="20"/>
      <c r="Q37" s="8"/>
      <c r="R37" s="24"/>
      <c r="S37" s="8"/>
      <c r="T37" s="20"/>
      <c r="U37" s="20"/>
      <c r="V37" s="20"/>
      <c r="W37" s="20"/>
      <c r="Y37" s="20"/>
      <c r="Z37" s="20"/>
      <c r="AA37" s="20"/>
      <c r="AB37" s="20"/>
      <c r="AC37" s="20"/>
      <c r="AD37" s="20"/>
      <c r="AE37" s="18"/>
      <c r="AF37" s="18"/>
      <c r="AL37" s="8"/>
      <c r="AM37" s="8"/>
      <c r="AN37" s="8"/>
      <c r="AO37" s="8"/>
      <c r="AP37" s="8"/>
      <c r="AQ37" s="37"/>
      <c r="AR37" s="37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</row>
    <row r="38" spans="2:84">
      <c r="B38" s="29">
        <v>7.2800000000000004E-2</v>
      </c>
      <c r="C38" s="29" t="s">
        <v>82</v>
      </c>
      <c r="D38" s="72">
        <v>2.5</v>
      </c>
      <c r="E38" s="34" t="s">
        <v>34</v>
      </c>
      <c r="F38" s="8"/>
      <c r="G38" s="8"/>
      <c r="H38" s="29">
        <v>0.27</v>
      </c>
      <c r="I38" s="29" t="s">
        <v>82</v>
      </c>
      <c r="J38" s="35">
        <v>2</v>
      </c>
      <c r="K38" s="34" t="s">
        <v>66</v>
      </c>
      <c r="L38" s="8"/>
      <c r="M38" s="37"/>
      <c r="N38" s="29">
        <v>0.15</v>
      </c>
      <c r="O38" s="29" t="s">
        <v>86</v>
      </c>
      <c r="P38" s="71">
        <v>3.5</v>
      </c>
      <c r="Q38" s="34" t="s">
        <v>95</v>
      </c>
      <c r="S38" s="8"/>
      <c r="T38" s="20"/>
      <c r="U38" s="29"/>
      <c r="V38" s="29"/>
      <c r="W38" s="35"/>
      <c r="X38" s="34" t="s">
        <v>22</v>
      </c>
      <c r="AA38" s="29"/>
      <c r="AB38" s="29"/>
      <c r="AC38" s="35"/>
      <c r="AD38" s="34" t="s">
        <v>21</v>
      </c>
      <c r="AI38" s="35"/>
      <c r="AJ38" s="34" t="s">
        <v>14</v>
      </c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</row>
    <row r="39" spans="2:84">
      <c r="B39" s="54" t="s">
        <v>12</v>
      </c>
      <c r="C39" s="50">
        <v>29350</v>
      </c>
      <c r="D39" s="55" t="s">
        <v>18</v>
      </c>
      <c r="E39" s="60">
        <v>17500</v>
      </c>
      <c r="F39" s="8"/>
      <c r="G39" s="8"/>
      <c r="H39" s="54" t="s">
        <v>12</v>
      </c>
      <c r="I39" s="50">
        <v>69.17</v>
      </c>
      <c r="J39" s="55" t="s">
        <v>18</v>
      </c>
      <c r="K39" s="60">
        <v>15.9</v>
      </c>
      <c r="L39" s="41"/>
      <c r="M39" s="8"/>
      <c r="N39" s="54" t="s">
        <v>12</v>
      </c>
      <c r="O39" s="50">
        <v>-3160</v>
      </c>
      <c r="P39" s="55" t="s">
        <v>18</v>
      </c>
      <c r="Q39" s="60">
        <v>68.05</v>
      </c>
      <c r="S39" s="8"/>
      <c r="T39" s="20"/>
      <c r="U39" s="54" t="s">
        <v>12</v>
      </c>
      <c r="V39" s="50"/>
      <c r="W39" s="55" t="s">
        <v>18</v>
      </c>
      <c r="X39" s="60">
        <v>590</v>
      </c>
      <c r="AA39" s="54" t="s">
        <v>12</v>
      </c>
      <c r="AB39" s="50">
        <v>1209</v>
      </c>
      <c r="AC39" s="55" t="s">
        <v>18</v>
      </c>
      <c r="AD39" s="60">
        <v>9.5</v>
      </c>
      <c r="AG39" s="54" t="s">
        <v>12</v>
      </c>
      <c r="AH39" s="50">
        <v>95754</v>
      </c>
      <c r="AI39" s="55" t="s">
        <v>18</v>
      </c>
      <c r="AJ39" s="51">
        <v>32380</v>
      </c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</row>
    <row r="40" spans="2:84">
      <c r="B40" s="52" t="s">
        <v>13</v>
      </c>
      <c r="C40" s="41">
        <f>E39*E40</f>
        <v>10500</v>
      </c>
      <c r="D40" s="56" t="s">
        <v>17</v>
      </c>
      <c r="E40" s="38">
        <v>0.6</v>
      </c>
      <c r="F40" s="8"/>
      <c r="G40" s="8"/>
      <c r="H40" s="52" t="s">
        <v>13</v>
      </c>
      <c r="I40" s="41">
        <f>K39*K40+K41*K42</f>
        <v>413.07899999999995</v>
      </c>
      <c r="J40" s="56" t="s">
        <v>17</v>
      </c>
      <c r="K40" s="38">
        <v>22.33</v>
      </c>
      <c r="L40" s="41"/>
      <c r="M40" s="8"/>
      <c r="N40" s="52" t="s">
        <v>13</v>
      </c>
      <c r="O40" s="41">
        <f>Q39*Q40+Q41*Q42</f>
        <v>33919.522499999999</v>
      </c>
      <c r="P40" s="56" t="s">
        <v>17</v>
      </c>
      <c r="Q40" s="38">
        <v>498.45</v>
      </c>
      <c r="S40" s="43"/>
      <c r="T40" s="20"/>
      <c r="U40" s="52" t="s">
        <v>13</v>
      </c>
      <c r="V40" s="41">
        <f>X40*X39</f>
        <v>70800</v>
      </c>
      <c r="W40" s="56" t="s">
        <v>17</v>
      </c>
      <c r="X40" s="38">
        <v>120</v>
      </c>
      <c r="AA40" s="52" t="s">
        <v>13</v>
      </c>
      <c r="AB40" s="41">
        <v>8600</v>
      </c>
      <c r="AC40" s="56" t="s">
        <v>17</v>
      </c>
      <c r="AD40" s="38">
        <v>11.53</v>
      </c>
      <c r="AG40" s="52" t="s">
        <v>13</v>
      </c>
      <c r="AH40" s="41">
        <f>AJ40*AJ39</f>
        <v>373341.39999999997</v>
      </c>
      <c r="AI40" s="56" t="s">
        <v>17</v>
      </c>
      <c r="AJ40" s="38">
        <v>11.53</v>
      </c>
      <c r="AL40" s="8"/>
      <c r="AM40" s="8"/>
      <c r="AN40" s="8"/>
      <c r="AO40" s="8"/>
      <c r="AP40" s="8"/>
      <c r="AQ40" s="37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</row>
    <row r="41" spans="2:84" ht="16.5">
      <c r="B41" s="52" t="s">
        <v>2</v>
      </c>
      <c r="C41" s="41">
        <f>C40+C39</f>
        <v>39850</v>
      </c>
      <c r="D41" s="8"/>
      <c r="E41" s="38"/>
      <c r="F41" s="20"/>
      <c r="G41" s="63"/>
      <c r="H41" s="52" t="s">
        <v>2</v>
      </c>
      <c r="I41" s="41">
        <f>I40+I39</f>
        <v>482.24899999999997</v>
      </c>
      <c r="J41" s="8"/>
      <c r="K41" s="38">
        <v>2.48</v>
      </c>
      <c r="L41" s="8"/>
      <c r="M41" s="37"/>
      <c r="N41" s="52" t="s">
        <v>2</v>
      </c>
      <c r="O41" s="41">
        <f>O40+O39</f>
        <v>30759.522499999999</v>
      </c>
      <c r="P41" s="8"/>
      <c r="Q41" s="38"/>
      <c r="S41" s="24"/>
      <c r="T41" s="20"/>
      <c r="U41" s="52" t="s">
        <v>2</v>
      </c>
      <c r="V41" s="41">
        <f>V40+V39</f>
        <v>70800</v>
      </c>
      <c r="W41" s="8"/>
      <c r="X41" s="38"/>
      <c r="Z41" s="20"/>
      <c r="AA41" s="52" t="s">
        <v>2</v>
      </c>
      <c r="AB41" s="41">
        <f>AB40+AB39</f>
        <v>9809</v>
      </c>
      <c r="AC41" s="8"/>
      <c r="AD41" s="38"/>
      <c r="AE41" s="20"/>
      <c r="AF41" s="20"/>
      <c r="AG41" s="52" t="s">
        <v>2</v>
      </c>
      <c r="AH41" s="41">
        <f>AH40+AH39</f>
        <v>469095.39999999997</v>
      </c>
      <c r="AI41" s="8"/>
      <c r="AJ41" s="38"/>
      <c r="AL41" s="8"/>
      <c r="AM41" s="8"/>
      <c r="AN41" s="8"/>
      <c r="AO41" s="8"/>
      <c r="AP41" s="8"/>
      <c r="AQ41" s="8"/>
      <c r="AR41" s="37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</row>
    <row r="42" spans="2:84">
      <c r="B42" s="58"/>
      <c r="C42" s="8"/>
      <c r="D42" s="8"/>
      <c r="E42" s="38"/>
      <c r="F42" s="20"/>
      <c r="G42" s="8"/>
      <c r="H42" s="58"/>
      <c r="I42" s="8"/>
      <c r="J42" s="8"/>
      <c r="K42" s="38">
        <v>23.4</v>
      </c>
      <c r="L42" s="8"/>
      <c r="M42" s="8"/>
      <c r="N42" s="58"/>
      <c r="O42" s="8"/>
      <c r="P42" s="8"/>
      <c r="Q42" s="38"/>
      <c r="S42" s="24"/>
      <c r="T42" s="20"/>
      <c r="U42" s="58"/>
      <c r="V42" s="8"/>
      <c r="W42" s="8"/>
      <c r="X42" s="38"/>
      <c r="Y42" s="20"/>
      <c r="Z42" s="20"/>
      <c r="AA42" s="58"/>
      <c r="AB42" s="8"/>
      <c r="AC42" s="8"/>
      <c r="AD42" s="38"/>
      <c r="AE42" s="20"/>
      <c r="AF42" s="20"/>
      <c r="AG42" s="58"/>
      <c r="AH42" s="8"/>
      <c r="AI42" s="8"/>
      <c r="AJ42" s="3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</row>
    <row r="43" spans="2:84">
      <c r="B43" s="53" t="s">
        <v>19</v>
      </c>
      <c r="C43" s="39">
        <f>(D43/E43)^(1/D38)/A2</f>
        <v>1.922151990782641</v>
      </c>
      <c r="D43" s="41">
        <v>102472</v>
      </c>
      <c r="E43" s="42">
        <v>16331</v>
      </c>
      <c r="F43" s="20"/>
      <c r="G43" s="8"/>
      <c r="H43" s="53" t="s">
        <v>19</v>
      </c>
      <c r="I43" s="39">
        <f>(J43/K43)^(1/J38)/A2</f>
        <v>1.0938572974461152</v>
      </c>
      <c r="J43" s="41">
        <v>646</v>
      </c>
      <c r="K43" s="42">
        <v>459</v>
      </c>
      <c r="L43" s="8"/>
      <c r="M43" s="8"/>
      <c r="N43" s="53" t="s">
        <v>19</v>
      </c>
      <c r="O43" s="39">
        <f>((P43+P50)/Q43)^(1/P38)/$A$4</f>
        <v>1.4659436924204869</v>
      </c>
      <c r="P43" s="41">
        <v>54245</v>
      </c>
      <c r="Q43" s="42">
        <v>17792</v>
      </c>
      <c r="S43" s="24"/>
      <c r="T43" s="20"/>
      <c r="U43" s="53" t="s">
        <v>19</v>
      </c>
      <c r="V43" s="39">
        <f>(W43/X43)^(1/3.5)/A6</f>
        <v>1.2423405368939082</v>
      </c>
      <c r="W43" s="41">
        <v>295566</v>
      </c>
      <c r="X43" s="42">
        <v>99069</v>
      </c>
      <c r="AA43" s="53" t="s">
        <v>19</v>
      </c>
      <c r="AB43" s="39">
        <v>1.7</v>
      </c>
      <c r="AC43" s="41">
        <v>5000</v>
      </c>
      <c r="AD43" s="42"/>
      <c r="AG43" s="53" t="s">
        <v>19</v>
      </c>
      <c r="AH43" s="39">
        <f>(AI43/AJ43)^(1/3.5)/A6</f>
        <v>1.0253563498576441</v>
      </c>
      <c r="AI43" s="41">
        <v>520441</v>
      </c>
      <c r="AJ43" s="42">
        <v>341535</v>
      </c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</row>
    <row r="44" spans="2:84">
      <c r="B44" s="53" t="s">
        <v>20</v>
      </c>
      <c r="C44" s="40">
        <f>C41/D43</f>
        <v>0.38888672027480675</v>
      </c>
      <c r="D44" s="8"/>
      <c r="E44" s="38"/>
      <c r="F44" s="20"/>
      <c r="G44" s="37"/>
      <c r="H44" s="53" t="s">
        <v>20</v>
      </c>
      <c r="I44" s="40">
        <f>I41/J43</f>
        <v>0.74651547987616096</v>
      </c>
      <c r="J44" s="8"/>
      <c r="K44" s="38"/>
      <c r="L44" s="8"/>
      <c r="M44" s="8"/>
      <c r="N44" s="53" t="s">
        <v>20</v>
      </c>
      <c r="O44" s="40">
        <f>O41/P43</f>
        <v>0.56704806894644666</v>
      </c>
      <c r="P44" s="8"/>
      <c r="Q44" s="38"/>
      <c r="S44" s="8"/>
      <c r="T44" s="20"/>
      <c r="U44" s="53" t="s">
        <v>20</v>
      </c>
      <c r="V44" s="40">
        <f>V41/W43</f>
        <v>0.23954040721869227</v>
      </c>
      <c r="W44" s="8"/>
      <c r="X44" s="38"/>
      <c r="AA44" s="53" t="s">
        <v>20</v>
      </c>
      <c r="AB44" s="40">
        <f>AB41/AC43</f>
        <v>1.9618</v>
      </c>
      <c r="AC44" s="8"/>
      <c r="AD44" s="38"/>
      <c r="AG44" s="53" t="s">
        <v>20</v>
      </c>
      <c r="AH44" s="40">
        <f>AH41/AI43</f>
        <v>0.90134213100043992</v>
      </c>
      <c r="AI44" s="8"/>
      <c r="AJ44" s="3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</row>
    <row r="45" spans="2:84">
      <c r="B45" s="56" t="s">
        <v>16</v>
      </c>
      <c r="C45" s="39">
        <f>B38*A10</f>
        <v>0.29120000000000001</v>
      </c>
      <c r="D45" s="8"/>
      <c r="E45" s="40">
        <f>SUM(C46:E46)/3</f>
        <v>1.2345457243209743</v>
      </c>
      <c r="F45" s="20"/>
      <c r="G45" s="37"/>
      <c r="H45" s="56" t="s">
        <v>16</v>
      </c>
      <c r="I45" s="39">
        <f>H38 * A10</f>
        <v>1.08</v>
      </c>
      <c r="J45" s="8"/>
      <c r="K45" s="40">
        <f>SUM(I46:K46)/3</f>
        <v>1.29571464988537</v>
      </c>
      <c r="L45" s="8"/>
      <c r="M45" s="8"/>
      <c r="N45" s="56" t="s">
        <v>16</v>
      </c>
      <c r="O45" s="39">
        <f>N38 * $A$10</f>
        <v>0.6</v>
      </c>
      <c r="P45" s="8"/>
      <c r="Q45" s="40">
        <f>SUM(O46:Q46)/3</f>
        <v>1.3530468540789407</v>
      </c>
      <c r="S45" s="8"/>
      <c r="T45" s="20"/>
      <c r="U45" s="56" t="s">
        <v>16</v>
      </c>
      <c r="V45" s="39">
        <v>0.55000000000000004</v>
      </c>
      <c r="W45" s="8"/>
      <c r="X45" s="40">
        <f>SUM(V46:X46)/3</f>
        <v>0.86225175052314429</v>
      </c>
      <c r="Y45" s="20"/>
      <c r="AA45" s="56" t="s">
        <v>16</v>
      </c>
      <c r="AB45" s="39">
        <v>0.3</v>
      </c>
      <c r="AC45" s="8"/>
      <c r="AD45" s="40">
        <f>SUM(AB46:AD46)/3</f>
        <v>0.95030000000000003</v>
      </c>
      <c r="AG45" s="56" t="s">
        <v>16</v>
      </c>
      <c r="AH45" s="39">
        <f>0.0478 * A10</f>
        <v>0.19120000000000001</v>
      </c>
      <c r="AI45" s="8"/>
      <c r="AJ45" s="40">
        <f>SUM(AH46:AJ46)/3</f>
        <v>0.20106121519152895</v>
      </c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</row>
    <row r="46" spans="2:84">
      <c r="B46" s="52"/>
      <c r="C46" s="39">
        <f>C43*C45</f>
        <v>0.55973065971590508</v>
      </c>
      <c r="D46" s="39">
        <f>C46*C43</f>
        <v>1.075887401875008</v>
      </c>
      <c r="E46" s="40">
        <f>D46*C43</f>
        <v>2.0680191113720099</v>
      </c>
      <c r="G46" s="8"/>
      <c r="H46" s="52"/>
      <c r="I46" s="39">
        <f>I43*I45</f>
        <v>1.1813658812418044</v>
      </c>
      <c r="J46" s="39">
        <f>I46*I43</f>
        <v>1.2922456901502084</v>
      </c>
      <c r="K46" s="40">
        <f>J46*I43</f>
        <v>1.4135323782640969</v>
      </c>
      <c r="L46" s="8"/>
      <c r="M46" s="8"/>
      <c r="N46" s="52"/>
      <c r="O46" s="39">
        <f>O43*O45</f>
        <v>0.87956621545229219</v>
      </c>
      <c r="P46" s="39">
        <f>O46*O43</f>
        <v>1.2893945456084468</v>
      </c>
      <c r="Q46" s="40">
        <f>P46*O43</f>
        <v>1.8901798011760824</v>
      </c>
      <c r="U46" s="52"/>
      <c r="V46" s="39">
        <f>V43*V45</f>
        <v>0.68328729529164955</v>
      </c>
      <c r="W46" s="39">
        <f>V46*V43</f>
        <v>0.84887550528541433</v>
      </c>
      <c r="X46" s="40">
        <f>W46*V43</f>
        <v>1.0545924509923692</v>
      </c>
      <c r="AA46" s="52"/>
      <c r="AB46" s="39">
        <f>AB43*AB45</f>
        <v>0.51</v>
      </c>
      <c r="AC46" s="39">
        <f>AB46*AB43</f>
        <v>0.86699999999999999</v>
      </c>
      <c r="AD46" s="40">
        <f>AC46*AB43</f>
        <v>1.4739</v>
      </c>
      <c r="AG46" s="52"/>
      <c r="AH46" s="39">
        <f>AH43*AH45</f>
        <v>0.19604813409278157</v>
      </c>
      <c r="AI46" s="39">
        <f>AH46*AH43</f>
        <v>0.20101919916977648</v>
      </c>
      <c r="AJ46" s="40">
        <f>AI46*AH43</f>
        <v>0.20611631231202879</v>
      </c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</row>
    <row r="47" spans="2:84">
      <c r="B47" s="52"/>
      <c r="C47" s="8"/>
      <c r="D47" s="8"/>
      <c r="E47" s="38"/>
      <c r="G47" s="8"/>
      <c r="H47" s="52"/>
      <c r="I47" s="8"/>
      <c r="J47" s="8"/>
      <c r="K47" s="38"/>
      <c r="L47" s="8"/>
      <c r="M47" s="8"/>
      <c r="N47" s="52"/>
      <c r="O47" s="8"/>
      <c r="P47" s="8"/>
      <c r="Q47" s="38"/>
      <c r="U47" s="52"/>
      <c r="V47" s="8"/>
      <c r="W47" s="8"/>
      <c r="X47" s="38"/>
      <c r="AA47" s="52"/>
      <c r="AB47" s="8"/>
      <c r="AC47" s="8"/>
      <c r="AD47" s="38"/>
      <c r="AG47" s="52"/>
      <c r="AH47" s="8"/>
      <c r="AI47" s="8"/>
      <c r="AJ47" s="38"/>
      <c r="AL47" s="8"/>
      <c r="AM47" s="39"/>
      <c r="AN47" s="39"/>
      <c r="AO47" s="39"/>
      <c r="AP47" s="39"/>
      <c r="AQ47" s="8"/>
      <c r="AR47" s="8"/>
      <c r="AS47" s="39"/>
      <c r="AT47" s="39"/>
      <c r="AU47" s="39"/>
      <c r="AV47" s="39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</row>
    <row r="48" spans="2:84">
      <c r="B48" s="52"/>
      <c r="C48" s="45" t="s">
        <v>1</v>
      </c>
      <c r="D48" s="45" t="s">
        <v>6</v>
      </c>
      <c r="E48" s="46" t="s">
        <v>15</v>
      </c>
      <c r="G48" s="8"/>
      <c r="H48" s="52"/>
      <c r="I48" s="45" t="s">
        <v>1</v>
      </c>
      <c r="J48" s="45" t="s">
        <v>6</v>
      </c>
      <c r="K48" s="46" t="s">
        <v>15</v>
      </c>
      <c r="L48" s="8"/>
      <c r="M48" s="8"/>
      <c r="N48" s="52"/>
      <c r="O48" s="45" t="s">
        <v>1</v>
      </c>
      <c r="P48" s="45" t="s">
        <v>6</v>
      </c>
      <c r="Q48" s="46" t="s">
        <v>15</v>
      </c>
      <c r="U48" s="52"/>
      <c r="V48" s="45" t="s">
        <v>1</v>
      </c>
      <c r="W48" s="45" t="s">
        <v>6</v>
      </c>
      <c r="X48" s="46" t="s">
        <v>15</v>
      </c>
      <c r="AA48" s="52"/>
      <c r="AB48" s="45" t="s">
        <v>1</v>
      </c>
      <c r="AC48" s="45" t="s">
        <v>6</v>
      </c>
      <c r="AD48" s="46" t="s">
        <v>15</v>
      </c>
      <c r="AG48" s="52"/>
      <c r="AH48" s="45" t="s">
        <v>1</v>
      </c>
      <c r="AI48" s="45" t="s">
        <v>6</v>
      </c>
      <c r="AJ48" s="46" t="s">
        <v>15</v>
      </c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</row>
    <row r="49" spans="2:76">
      <c r="B49" s="57" t="s">
        <v>4</v>
      </c>
      <c r="C49" s="47">
        <f>C45/C44</f>
        <v>0.74880417565872026</v>
      </c>
      <c r="D49" s="49">
        <f>E45/C44</f>
        <v>3.1745638510067473</v>
      </c>
      <c r="E49" s="48">
        <f>E46/C44</f>
        <v>5.3177930835762259</v>
      </c>
      <c r="F49" s="29"/>
      <c r="G49" s="8"/>
      <c r="H49" s="57" t="s">
        <v>4</v>
      </c>
      <c r="I49" s="47">
        <f>I45/I44</f>
        <v>1.4467215069393613</v>
      </c>
      <c r="J49" s="49">
        <f>K45/I44</f>
        <v>1.7356835655977494</v>
      </c>
      <c r="K49" s="48">
        <f>K46/I44</f>
        <v>1.8935071225831608</v>
      </c>
      <c r="L49" s="8"/>
      <c r="M49" s="8"/>
      <c r="N49" s="57" t="s">
        <v>4</v>
      </c>
      <c r="O49" s="47">
        <f>O45/O44</f>
        <v>1.0581113539717659</v>
      </c>
      <c r="P49" s="49">
        <f>Q45/O44</f>
        <v>2.3861237312611774</v>
      </c>
      <c r="Q49" s="48">
        <f>Q46/O44</f>
        <v>3.3333678477875135</v>
      </c>
      <c r="U49" s="57" t="s">
        <v>4</v>
      </c>
      <c r="V49" s="47">
        <f>V45/V44</f>
        <v>2.2960635593220342</v>
      </c>
      <c r="W49" s="49">
        <f>X45/V44</f>
        <v>3.5996087697051364</v>
      </c>
      <c r="X49" s="48">
        <f>X46/V44</f>
        <v>4.4025659939267037</v>
      </c>
      <c r="AA49" s="57" t="s">
        <v>4</v>
      </c>
      <c r="AB49" s="47">
        <f>AB45/AB44</f>
        <v>0.15292078703231726</v>
      </c>
      <c r="AC49" s="49">
        <f>AD45/AB44</f>
        <v>0.48440207972270366</v>
      </c>
      <c r="AD49" s="48">
        <f>AD46/AB44</f>
        <v>0.75129982668977469</v>
      </c>
      <c r="AG49" s="57" t="s">
        <v>4</v>
      </c>
      <c r="AH49" s="47">
        <f>AH45/AH44</f>
        <v>0.21212810699060364</v>
      </c>
      <c r="AI49" s="49">
        <f>AJ45/AH44</f>
        <v>0.22306869753038408</v>
      </c>
      <c r="AJ49" s="48">
        <f>AJ46/AH44</f>
        <v>0.22867710852842424</v>
      </c>
      <c r="AL49" s="8"/>
      <c r="AM49" s="8"/>
      <c r="AN49" s="8"/>
      <c r="AO49" s="8"/>
      <c r="AP49" s="8"/>
      <c r="AQ49" s="37"/>
      <c r="AR49" s="37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</row>
    <row r="50" spans="2:76">
      <c r="F50" s="29"/>
      <c r="G50" s="8"/>
      <c r="L50" s="8"/>
      <c r="M50" s="8"/>
      <c r="N50" s="29" t="s">
        <v>87</v>
      </c>
      <c r="O50" s="8">
        <v>77</v>
      </c>
      <c r="P50" s="70">
        <f>O50*(Q40+Q42)</f>
        <v>38380.65</v>
      </c>
      <c r="Q50" s="69"/>
      <c r="AH50" s="30">
        <v>0.6721054575209553</v>
      </c>
      <c r="AI50" s="30">
        <v>0.70676956080555331</v>
      </c>
      <c r="AJ50" s="30">
        <v>0.72453921751573336</v>
      </c>
      <c r="AL50" s="8"/>
      <c r="AM50" s="8"/>
      <c r="AN50" s="8"/>
      <c r="AO50" s="37"/>
      <c r="AP50" s="37"/>
      <c r="AQ50" s="37"/>
      <c r="AR50" s="37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</row>
    <row r="51" spans="2:76">
      <c r="B51">
        <f>B52*C54</f>
        <v>720.09511568123389</v>
      </c>
      <c r="C51">
        <v>437</v>
      </c>
      <c r="D51">
        <v>185</v>
      </c>
      <c r="E51">
        <v>150</v>
      </c>
      <c r="F51" s="29"/>
      <c r="G51" s="8"/>
      <c r="H51" t="s">
        <v>67</v>
      </c>
      <c r="L51" s="8"/>
      <c r="M51" s="8"/>
      <c r="T51" s="29"/>
      <c r="U51" s="29"/>
      <c r="AG51" s="20"/>
      <c r="AL51" s="8"/>
      <c r="AM51" s="8"/>
      <c r="AN51" s="8"/>
      <c r="AO51" s="37"/>
      <c r="AP51" s="37"/>
      <c r="AQ51" s="37"/>
      <c r="AR51" s="37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</row>
    <row r="52" spans="2:76">
      <c r="B52">
        <v>6410</v>
      </c>
      <c r="C52">
        <v>3890</v>
      </c>
      <c r="D52">
        <v>251</v>
      </c>
      <c r="E52">
        <v>877</v>
      </c>
      <c r="F52" s="29"/>
      <c r="G52" s="8"/>
      <c r="H52" t="s">
        <v>68</v>
      </c>
      <c r="L52" s="8"/>
      <c r="M52" s="8"/>
      <c r="S52" s="29"/>
      <c r="T52" s="29"/>
      <c r="U52" s="29">
        <v>0.33</v>
      </c>
      <c r="V52" s="29"/>
      <c r="W52" s="35">
        <v>4</v>
      </c>
      <c r="X52" s="34" t="s">
        <v>3</v>
      </c>
      <c r="AA52" s="29"/>
      <c r="AB52" s="29"/>
      <c r="AC52" s="35"/>
      <c r="AD52" s="34" t="s">
        <v>25</v>
      </c>
      <c r="AG52" s="29">
        <v>0.06</v>
      </c>
      <c r="AH52" s="29"/>
      <c r="AI52" s="35">
        <v>4</v>
      </c>
      <c r="AJ52" s="34" t="s">
        <v>76</v>
      </c>
      <c r="AL52" s="8"/>
      <c r="AQ52" s="37"/>
      <c r="AR52" s="37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</row>
    <row r="53" spans="2:76">
      <c r="F53" s="29"/>
      <c r="G53" s="8"/>
      <c r="H53" t="s">
        <v>83</v>
      </c>
      <c r="L53" s="8"/>
      <c r="M53" s="8"/>
      <c r="T53" s="29"/>
      <c r="U53" s="54" t="s">
        <v>12</v>
      </c>
      <c r="V53" s="50"/>
      <c r="W53" s="55" t="s">
        <v>18</v>
      </c>
      <c r="X53" s="60">
        <v>206</v>
      </c>
      <c r="AA53" s="54" t="s">
        <v>12</v>
      </c>
      <c r="AB53" s="50">
        <v>10872</v>
      </c>
      <c r="AC53" s="55" t="s">
        <v>18</v>
      </c>
      <c r="AD53" s="60">
        <v>122</v>
      </c>
      <c r="AG53" s="54" t="s">
        <v>12</v>
      </c>
      <c r="AH53" s="50">
        <v>176613</v>
      </c>
      <c r="AI53" s="55" t="s">
        <v>18</v>
      </c>
      <c r="AJ53" s="60">
        <v>89.65</v>
      </c>
      <c r="AL53" s="8"/>
      <c r="AQ53" s="37"/>
      <c r="AR53" s="37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</row>
    <row r="54" spans="2:76">
      <c r="C54">
        <f>C51/C52</f>
        <v>0.11233933161953727</v>
      </c>
      <c r="D54" s="29">
        <f t="shared" ref="D54:E54" si="7">D51/D52</f>
        <v>0.73705179282868527</v>
      </c>
      <c r="E54" s="29">
        <f t="shared" si="7"/>
        <v>0.17103762827822122</v>
      </c>
      <c r="F54" s="29"/>
      <c r="G54" s="8"/>
      <c r="H54" t="s">
        <v>84</v>
      </c>
      <c r="L54" s="8"/>
      <c r="M54" s="8"/>
      <c r="T54" s="29"/>
      <c r="U54" s="52" t="s">
        <v>13</v>
      </c>
      <c r="V54" s="41">
        <f>X53*X54</f>
        <v>468856</v>
      </c>
      <c r="W54" s="56" t="s">
        <v>17</v>
      </c>
      <c r="X54" s="38">
        <v>2276</v>
      </c>
      <c r="Z54" s="20"/>
      <c r="AA54" s="52" t="s">
        <v>13</v>
      </c>
      <c r="AB54" s="41">
        <f>AD53*AD54</f>
        <v>25620</v>
      </c>
      <c r="AC54" s="56" t="s">
        <v>17</v>
      </c>
      <c r="AD54" s="38">
        <v>210</v>
      </c>
      <c r="AG54" s="52" t="s">
        <v>13</v>
      </c>
      <c r="AH54" s="41">
        <f>AJ53*AJ54 + AJ55*AJ56</f>
        <v>159973.73000000001</v>
      </c>
      <c r="AI54" s="56" t="s">
        <v>17</v>
      </c>
      <c r="AJ54" s="38">
        <v>1611</v>
      </c>
      <c r="AL54" s="8"/>
      <c r="AQ54" s="37"/>
      <c r="AR54" s="37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</row>
    <row r="55" spans="2:76">
      <c r="C55" s="29"/>
      <c r="D55" s="29"/>
      <c r="E55" s="29"/>
      <c r="F55" s="29"/>
      <c r="U55" s="52" t="s">
        <v>2</v>
      </c>
      <c r="V55" s="41">
        <f>V54+V53</f>
        <v>468856</v>
      </c>
      <c r="W55" s="8"/>
      <c r="X55" s="38"/>
      <c r="Z55" s="20"/>
      <c r="AA55" s="52" t="s">
        <v>2</v>
      </c>
      <c r="AB55" s="41">
        <f>AB54+AB53</f>
        <v>36492</v>
      </c>
      <c r="AC55" s="8"/>
      <c r="AD55" s="38"/>
      <c r="AG55" s="52" t="s">
        <v>2</v>
      </c>
      <c r="AH55" s="41">
        <f>AH54+AH53</f>
        <v>336586.73</v>
      </c>
      <c r="AI55" s="8"/>
      <c r="AJ55" s="38">
        <v>71</v>
      </c>
      <c r="AL55" s="8"/>
      <c r="AQ55" s="37"/>
      <c r="AR55" s="37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</row>
    <row r="56" spans="2:76">
      <c r="C56" s="29"/>
      <c r="D56" s="29"/>
      <c r="E56" s="29"/>
      <c r="F56" s="29"/>
      <c r="G56" s="19"/>
      <c r="U56" s="58"/>
      <c r="V56" s="8"/>
      <c r="W56" s="8"/>
      <c r="X56" s="38"/>
      <c r="AA56" s="58"/>
      <c r="AB56" s="8"/>
      <c r="AC56" s="8"/>
      <c r="AD56" s="38"/>
      <c r="AG56" s="58"/>
      <c r="AH56" s="8"/>
      <c r="AI56" s="8"/>
      <c r="AJ56" s="38">
        <v>218.98</v>
      </c>
      <c r="AL56" s="8"/>
      <c r="AQ56" s="37"/>
      <c r="AR56" s="37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</row>
    <row r="57" spans="2:76">
      <c r="B57" s="29">
        <v>0.5</v>
      </c>
      <c r="C57" s="29"/>
      <c r="D57" s="71">
        <v>2.5</v>
      </c>
      <c r="E57" s="34" t="s">
        <v>28</v>
      </c>
      <c r="F57" s="29"/>
      <c r="G57" s="19"/>
      <c r="H57" s="29">
        <v>8.7999999999999995E-2</v>
      </c>
      <c r="I57" s="29" t="s">
        <v>78</v>
      </c>
      <c r="J57" s="35">
        <v>3</v>
      </c>
      <c r="K57" s="34" t="s">
        <v>32</v>
      </c>
      <c r="N57" s="29">
        <v>0.11</v>
      </c>
      <c r="O57" s="29" t="s">
        <v>86</v>
      </c>
      <c r="P57" s="35">
        <v>4</v>
      </c>
      <c r="Q57" s="34" t="s">
        <v>94</v>
      </c>
      <c r="S57" s="29"/>
      <c r="U57" s="53" t="s">
        <v>19</v>
      </c>
      <c r="V57" s="39">
        <f>(W57/X57)^(1/W52)/A4</f>
        <v>1.0697188511384434</v>
      </c>
      <c r="W57" s="41">
        <v>261898</v>
      </c>
      <c r="X57" s="42">
        <v>140171</v>
      </c>
      <c r="Z57" s="20"/>
      <c r="AA57" s="53" t="s">
        <v>19</v>
      </c>
      <c r="AB57" s="39">
        <f>(AC57/AD57)^(1/3.75)/A6</f>
        <v>1.0230516895506008</v>
      </c>
      <c r="AC57" s="41">
        <v>118207</v>
      </c>
      <c r="AD57" s="42">
        <v>75911</v>
      </c>
      <c r="AG57" s="53" t="s">
        <v>19</v>
      </c>
      <c r="AH57" s="39">
        <f>((AI57+AI64)/AJ57)^(1/AI52)/$A$4</f>
        <v>1.1342713224005052</v>
      </c>
      <c r="AI57" s="41">
        <v>605542</v>
      </c>
      <c r="AJ57" s="42">
        <v>268000</v>
      </c>
      <c r="AL57" s="8"/>
      <c r="AQ57" s="37"/>
      <c r="AR57" s="37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</row>
    <row r="58" spans="2:76">
      <c r="B58" s="54" t="s">
        <v>12</v>
      </c>
      <c r="C58" s="50"/>
      <c r="D58" s="55" t="s">
        <v>18</v>
      </c>
      <c r="E58" s="60">
        <v>1269</v>
      </c>
      <c r="F58" s="29"/>
      <c r="G58" s="19"/>
      <c r="H58" s="54" t="s">
        <v>12</v>
      </c>
      <c r="I58" s="50">
        <v>-14441</v>
      </c>
      <c r="J58" s="55" t="s">
        <v>18</v>
      </c>
      <c r="K58" s="60">
        <v>0.13414999999999999</v>
      </c>
      <c r="N58" s="54" t="s">
        <v>12</v>
      </c>
      <c r="O58" s="50"/>
      <c r="P58" s="55" t="s">
        <v>18</v>
      </c>
      <c r="Q58" s="60">
        <v>1315</v>
      </c>
      <c r="U58" s="53" t="s">
        <v>20</v>
      </c>
      <c r="V58" s="40">
        <f>V55/W57</f>
        <v>1.7902236748657874</v>
      </c>
      <c r="W58" s="8"/>
      <c r="X58" s="38"/>
      <c r="Z58" s="20"/>
      <c r="AA58" s="53" t="s">
        <v>20</v>
      </c>
      <c r="AB58" s="40">
        <f>AB55/AC57</f>
        <v>0.30871268199006829</v>
      </c>
      <c r="AC58" s="8"/>
      <c r="AD58" s="38"/>
      <c r="AG58" s="53" t="s">
        <v>20</v>
      </c>
      <c r="AH58" s="40">
        <f>AH55/AI57</f>
        <v>0.55584373998830794</v>
      </c>
      <c r="AI58" s="8"/>
      <c r="AJ58" s="38"/>
      <c r="AL58" s="8"/>
      <c r="AQ58" s="37"/>
      <c r="AR58" s="37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</row>
    <row r="59" spans="2:76">
      <c r="B59" s="52" t="s">
        <v>13</v>
      </c>
      <c r="C59" s="41">
        <f>E58*E59+E60*E61</f>
        <v>3238.6929999999998</v>
      </c>
      <c r="D59" s="56" t="s">
        <v>17</v>
      </c>
      <c r="E59" s="38">
        <v>2.5499999999999998</v>
      </c>
      <c r="F59" s="29"/>
      <c r="G59" s="19"/>
      <c r="H59" s="52" t="s">
        <v>13</v>
      </c>
      <c r="I59" s="41">
        <f>K58*K59</f>
        <v>63013.742899999997</v>
      </c>
      <c r="J59" s="56" t="s">
        <v>17</v>
      </c>
      <c r="K59" s="38">
        <v>469726</v>
      </c>
      <c r="N59" s="52" t="s">
        <v>13</v>
      </c>
      <c r="O59" s="41">
        <f>Q58*Q59+Q60*Q61</f>
        <v>45538.450000000004</v>
      </c>
      <c r="P59" s="56" t="s">
        <v>17</v>
      </c>
      <c r="Q59" s="38">
        <v>34.630000000000003</v>
      </c>
      <c r="U59" s="56" t="s">
        <v>16</v>
      </c>
      <c r="V59" s="39">
        <f xml:space="preserve"> U52 * A10</f>
        <v>1.32</v>
      </c>
      <c r="W59" s="8"/>
      <c r="X59" s="40">
        <f>SUM(V60:X60)/3</f>
        <v>1.5127617398677582</v>
      </c>
      <c r="Z59" s="20"/>
      <c r="AA59" s="56" t="s">
        <v>16</v>
      </c>
      <c r="AB59" s="39">
        <f xml:space="preserve"> 0.065 * A10</f>
        <v>0.26</v>
      </c>
      <c r="AC59" s="8"/>
      <c r="AD59" s="40">
        <f>SUM(AB60:AD60)/3</f>
        <v>0.27217215203394352</v>
      </c>
      <c r="AG59" s="56" t="s">
        <v>16</v>
      </c>
      <c r="AH59" s="39">
        <f xml:space="preserve"> AG52 * A10</f>
        <v>0.24</v>
      </c>
      <c r="AI59" s="8"/>
      <c r="AJ59" s="40">
        <f>SUM(AH60:AJ60)/3</f>
        <v>0.31041310685506934</v>
      </c>
      <c r="AL59" s="8"/>
      <c r="AQ59" s="37"/>
      <c r="AR59" s="37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</row>
    <row r="60" spans="2:76">
      <c r="B60" s="52" t="s">
        <v>2</v>
      </c>
      <c r="C60" s="41">
        <f>C59+C58</f>
        <v>3238.6929999999998</v>
      </c>
      <c r="D60" s="8"/>
      <c r="E60" s="38">
        <v>274.3</v>
      </c>
      <c r="G60" s="19"/>
      <c r="H60" s="52" t="s">
        <v>2</v>
      </c>
      <c r="I60" s="41">
        <f>I59+I58</f>
        <v>48572.742899999997</v>
      </c>
      <c r="J60" s="8"/>
      <c r="K60" s="38"/>
      <c r="N60" s="52" t="s">
        <v>2</v>
      </c>
      <c r="O60" s="41">
        <f>O59+O58</f>
        <v>45538.450000000004</v>
      </c>
      <c r="P60" s="8"/>
      <c r="Q60" s="38"/>
      <c r="U60" s="52"/>
      <c r="V60" s="39">
        <f>V57*V59</f>
        <v>1.4120288835027455</v>
      </c>
      <c r="W60" s="39">
        <f>V60*V57</f>
        <v>1.5104739150348558</v>
      </c>
      <c r="X60" s="40">
        <f>W60*V57</f>
        <v>1.6157824210656728</v>
      </c>
      <c r="Z60" s="20"/>
      <c r="AA60" s="52"/>
      <c r="AB60" s="39">
        <f>AB57*AB59</f>
        <v>0.26599343928315622</v>
      </c>
      <c r="AC60" s="39">
        <f>AB60*AB57</f>
        <v>0.27212503746800809</v>
      </c>
      <c r="AD60" s="40">
        <f>AC60*AB57</f>
        <v>0.27839797935066624</v>
      </c>
      <c r="AG60" s="52"/>
      <c r="AH60" s="39">
        <f>AH57*AH59</f>
        <v>0.27222511737612126</v>
      </c>
      <c r="AI60" s="39">
        <f>AH60*AH57</f>
        <v>0.30877714387684579</v>
      </c>
      <c r="AJ60" s="40">
        <f>AI60*AH57</f>
        <v>0.35023705931224092</v>
      </c>
      <c r="AL60" s="8"/>
      <c r="AQ60" s="37"/>
      <c r="AR60" s="37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</row>
    <row r="61" spans="2:76">
      <c r="B61" s="58"/>
      <c r="C61" s="8"/>
      <c r="D61" s="8"/>
      <c r="E61" s="38">
        <v>0.01</v>
      </c>
      <c r="G61" s="19"/>
      <c r="H61" s="58"/>
      <c r="I61" s="8"/>
      <c r="J61" s="8"/>
      <c r="K61" s="38"/>
      <c r="N61" s="58"/>
      <c r="O61" s="8"/>
      <c r="P61" s="8"/>
      <c r="Q61" s="38"/>
      <c r="U61" s="52"/>
      <c r="V61" s="8"/>
      <c r="W61" s="8"/>
      <c r="X61" s="38"/>
      <c r="AA61" s="52"/>
      <c r="AB61" s="8"/>
      <c r="AC61" s="8"/>
      <c r="AD61" s="38"/>
      <c r="AG61" s="52"/>
      <c r="AH61" s="8"/>
      <c r="AI61" s="8"/>
      <c r="AJ61" s="38"/>
      <c r="AL61" s="8"/>
      <c r="AQ61" s="37"/>
      <c r="AR61" s="37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</row>
    <row r="62" spans="2:76">
      <c r="B62" s="53" t="s">
        <v>19</v>
      </c>
      <c r="C62" s="39">
        <f>(D62/E62)^(1/D57)/A3</f>
        <v>1.4751928692889547</v>
      </c>
      <c r="D62" s="41">
        <v>924</v>
      </c>
      <c r="E62" s="42">
        <v>278</v>
      </c>
      <c r="G62" s="19"/>
      <c r="H62" s="53" t="s">
        <v>19</v>
      </c>
      <c r="I62" s="39">
        <f>(J62/K62)^(1/J57)/$A$3</f>
        <v>1.2787041042251577</v>
      </c>
      <c r="J62" s="41">
        <v>114091</v>
      </c>
      <c r="K62" s="42">
        <v>41451</v>
      </c>
      <c r="N62" s="53" t="s">
        <v>19</v>
      </c>
      <c r="O62" s="39">
        <f>((P62)/Q62)^(1/P57)/$A$4</f>
        <v>1.2318913100266613</v>
      </c>
      <c r="P62" s="41">
        <v>112435</v>
      </c>
      <c r="Q62" s="42">
        <v>34215</v>
      </c>
      <c r="U62" s="52"/>
      <c r="V62" s="45" t="s">
        <v>1</v>
      </c>
      <c r="W62" s="45" t="s">
        <v>6</v>
      </c>
      <c r="X62" s="46" t="s">
        <v>15</v>
      </c>
      <c r="AA62" s="52"/>
      <c r="AB62" s="45" t="s">
        <v>1</v>
      </c>
      <c r="AC62" s="45" t="s">
        <v>6</v>
      </c>
      <c r="AD62" s="46" t="s">
        <v>15</v>
      </c>
      <c r="AG62" s="52"/>
      <c r="AH62" s="45" t="s">
        <v>1</v>
      </c>
      <c r="AI62" s="45" t="s">
        <v>6</v>
      </c>
      <c r="AJ62" s="46" t="s">
        <v>15</v>
      </c>
      <c r="AL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</row>
    <row r="63" spans="2:76" ht="26.45" customHeight="1">
      <c r="B63" s="53" t="s">
        <v>20</v>
      </c>
      <c r="C63" s="40">
        <f>C60/D62</f>
        <v>3.5050790043290041</v>
      </c>
      <c r="D63" s="8"/>
      <c r="E63" s="38"/>
      <c r="H63" s="53" t="s">
        <v>20</v>
      </c>
      <c r="I63" s="40">
        <f>I60/J62</f>
        <v>0.42573684953239077</v>
      </c>
      <c r="J63" s="8"/>
      <c r="K63" s="38"/>
      <c r="N63" s="53" t="s">
        <v>20</v>
      </c>
      <c r="O63" s="40">
        <f>O60/P62</f>
        <v>0.40502023391292752</v>
      </c>
      <c r="P63" s="8"/>
      <c r="Q63" s="38"/>
      <c r="U63" s="57" t="s">
        <v>4</v>
      </c>
      <c r="V63" s="47">
        <f>V59/V58</f>
        <v>0.73733803129319031</v>
      </c>
      <c r="W63" s="49">
        <f>X59/V58</f>
        <v>0.84501269931041978</v>
      </c>
      <c r="X63" s="48">
        <f>X60/V58</f>
        <v>0.90255896162629379</v>
      </c>
      <c r="AA63" s="57" t="s">
        <v>4</v>
      </c>
      <c r="AB63" s="47">
        <f>AB59/AB58</f>
        <v>0.84220705908144244</v>
      </c>
      <c r="AC63" s="49">
        <f>AD59/AB58</f>
        <v>0.88163579895528765</v>
      </c>
      <c r="AD63" s="48">
        <f>AD60/AB58</f>
        <v>0.90180285939669524</v>
      </c>
      <c r="AG63" s="57" t="s">
        <v>4</v>
      </c>
      <c r="AH63" s="47">
        <f>AH59/AH58</f>
        <v>0.43177602396862175</v>
      </c>
      <c r="AI63" s="49">
        <f>AJ59/AH58</f>
        <v>0.55845390444011989</v>
      </c>
      <c r="AJ63" s="48">
        <f>AJ60/AH58</f>
        <v>0.63009985381792388</v>
      </c>
      <c r="AL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</row>
    <row r="64" spans="2:76" ht="21" customHeight="1">
      <c r="B64" s="56" t="s">
        <v>16</v>
      </c>
      <c r="C64" s="39">
        <f>B57 * A10</f>
        <v>2</v>
      </c>
      <c r="D64" s="8"/>
      <c r="E64" s="40">
        <f>SUM(C65:E65)/3</f>
        <v>4.5744618294940622</v>
      </c>
      <c r="F64" s="25"/>
      <c r="H64" s="56" t="s">
        <v>16</v>
      </c>
      <c r="I64" s="39">
        <f xml:space="preserve"> H57 * $A$10</f>
        <v>0.35199999999999998</v>
      </c>
      <c r="J64" s="8"/>
      <c r="K64" s="40">
        <f>SUM(I65:K65)/3</f>
        <v>0.58720371893177958</v>
      </c>
      <c r="N64" s="56" t="s">
        <v>16</v>
      </c>
      <c r="O64" s="39">
        <f>N57 * $A$10</f>
        <v>0.44</v>
      </c>
      <c r="P64" s="8"/>
      <c r="Q64" s="40">
        <f>SUM(O65:Q65)/3</f>
        <v>0.67744039801636535</v>
      </c>
      <c r="V64" s="33"/>
      <c r="W64" s="33"/>
      <c r="X64" s="33"/>
      <c r="AG64" t="s">
        <v>112</v>
      </c>
      <c r="AH64">
        <v>15</v>
      </c>
      <c r="AI64">
        <f>AH64*(AJ54+AJ56)</f>
        <v>27449.7</v>
      </c>
      <c r="AL64" s="8"/>
      <c r="AQ64" s="37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</row>
    <row r="65" spans="2:76">
      <c r="B65" s="52"/>
      <c r="C65" s="39">
        <f>C62*C64</f>
        <v>2.9503857385779093</v>
      </c>
      <c r="D65" s="39">
        <f>C65*C62</f>
        <v>4.3523880032019573</v>
      </c>
      <c r="E65" s="40">
        <f>D65*C62</f>
        <v>6.4206117467023196</v>
      </c>
      <c r="F65" s="30"/>
      <c r="G65" s="6"/>
      <c r="H65" s="52"/>
      <c r="I65" s="39">
        <f>I62*I64</f>
        <v>0.45010384468725545</v>
      </c>
      <c r="J65" s="39">
        <f>I65*I62</f>
        <v>0.57554963352911648</v>
      </c>
      <c r="K65" s="40">
        <f>J65*I62</f>
        <v>0.73595767857896666</v>
      </c>
      <c r="N65" s="52"/>
      <c r="O65" s="39">
        <f>O62*O64</f>
        <v>0.54203217641173096</v>
      </c>
      <c r="P65" s="39">
        <f>O65*O62</f>
        <v>0.66772472787644965</v>
      </c>
      <c r="Q65" s="40">
        <f>P65*O62</f>
        <v>0.82256428976091545</v>
      </c>
      <c r="Y65" s="20"/>
      <c r="AB65" s="33"/>
      <c r="AC65" s="33"/>
      <c r="AD65" s="33"/>
      <c r="AL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</row>
    <row r="66" spans="2:76">
      <c r="B66" s="52"/>
      <c r="C66" s="8"/>
      <c r="D66" s="8"/>
      <c r="E66" s="38"/>
      <c r="F66" s="30"/>
      <c r="H66" s="52"/>
      <c r="I66" s="8"/>
      <c r="J66" s="8"/>
      <c r="K66" s="38"/>
      <c r="N66" s="52"/>
      <c r="O66" s="8"/>
      <c r="P66" s="8"/>
      <c r="Q66" s="38"/>
      <c r="U66" s="29"/>
      <c r="V66" s="29"/>
      <c r="W66" s="35"/>
      <c r="X66" s="34" t="s">
        <v>26</v>
      </c>
      <c r="Y66" s="20"/>
      <c r="AA66" s="29">
        <v>0.09</v>
      </c>
      <c r="AB66" s="29" t="s">
        <v>78</v>
      </c>
      <c r="AC66" s="35">
        <v>3</v>
      </c>
      <c r="AD66" s="34" t="s">
        <v>89</v>
      </c>
      <c r="AG66" s="29">
        <v>0.1</v>
      </c>
      <c r="AH66" s="29" t="s">
        <v>78</v>
      </c>
      <c r="AI66" s="35">
        <v>4</v>
      </c>
      <c r="AJ66" s="34" t="s">
        <v>5</v>
      </c>
      <c r="AL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</row>
    <row r="67" spans="2:76">
      <c r="B67" s="52"/>
      <c r="C67" s="45" t="s">
        <v>1</v>
      </c>
      <c r="D67" s="45" t="s">
        <v>6</v>
      </c>
      <c r="E67" s="46" t="s">
        <v>15</v>
      </c>
      <c r="F67" s="30"/>
      <c r="G67" s="8"/>
      <c r="H67" s="52"/>
      <c r="I67" s="45" t="s">
        <v>1</v>
      </c>
      <c r="J67" s="45" t="s">
        <v>6</v>
      </c>
      <c r="K67" s="46" t="s">
        <v>15</v>
      </c>
      <c r="N67" s="52"/>
      <c r="O67" s="45" t="s">
        <v>1</v>
      </c>
      <c r="P67" s="45" t="s">
        <v>6</v>
      </c>
      <c r="Q67" s="46" t="s">
        <v>15</v>
      </c>
      <c r="U67" s="54" t="s">
        <v>12</v>
      </c>
      <c r="V67" s="50">
        <v>-4990</v>
      </c>
      <c r="W67" s="55" t="s">
        <v>18</v>
      </c>
      <c r="X67" s="60">
        <v>600</v>
      </c>
      <c r="Y67" s="20"/>
      <c r="AA67" s="54" t="s">
        <v>12</v>
      </c>
      <c r="AB67" s="50">
        <v>3581</v>
      </c>
      <c r="AC67" s="55" t="s">
        <v>18</v>
      </c>
      <c r="AD67" s="60">
        <v>188</v>
      </c>
      <c r="AG67" s="54" t="s">
        <v>12</v>
      </c>
      <c r="AH67" s="50">
        <v>850</v>
      </c>
      <c r="AI67" s="55" t="s">
        <v>18</v>
      </c>
      <c r="AJ67" s="60">
        <v>11.8</v>
      </c>
      <c r="AL67" s="8"/>
      <c r="AM67" s="29">
        <v>4.1500000000000002E-2</v>
      </c>
      <c r="AN67" s="29" t="s">
        <v>78</v>
      </c>
      <c r="AO67" s="35">
        <v>3.75</v>
      </c>
      <c r="AP67" s="34" t="s">
        <v>90</v>
      </c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</row>
    <row r="68" spans="2:76">
      <c r="B68" s="57" t="s">
        <v>4</v>
      </c>
      <c r="C68" s="47">
        <f>C64/C63</f>
        <v>0.57060054781357794</v>
      </c>
      <c r="D68" s="49">
        <f>E64/C63</f>
        <v>1.3050952129308069</v>
      </c>
      <c r="E68" s="48">
        <f>E65/C63</f>
        <v>1.8318022899833184</v>
      </c>
      <c r="F68" s="30"/>
      <c r="G68" s="8"/>
      <c r="H68" s="57" t="s">
        <v>4</v>
      </c>
      <c r="I68" s="47">
        <f>I64/I63</f>
        <v>0.82680181522135121</v>
      </c>
      <c r="J68" s="49">
        <f>K64/I63</f>
        <v>1.3792644906747829</v>
      </c>
      <c r="K68" s="48">
        <f>K65/I63</f>
        <v>1.7286680243613108</v>
      </c>
      <c r="N68" s="57" t="s">
        <v>4</v>
      </c>
      <c r="O68" s="47">
        <f>O64/O63</f>
        <v>1.0863654779642258</v>
      </c>
      <c r="P68" s="49">
        <f>Q64/O63</f>
        <v>1.672608776780282</v>
      </c>
      <c r="Q68" s="48">
        <f>Q65/O63</f>
        <v>2.0309214722782292</v>
      </c>
      <c r="U68" s="52" t="s">
        <v>13</v>
      </c>
      <c r="V68" s="41">
        <f>X67*X68</f>
        <v>40560</v>
      </c>
      <c r="W68" s="56" t="s">
        <v>17</v>
      </c>
      <c r="X68" s="38">
        <v>67.599999999999994</v>
      </c>
      <c r="Y68" s="20"/>
      <c r="AA68" s="52" t="s">
        <v>13</v>
      </c>
      <c r="AB68" s="41">
        <f>AD67*AD68</f>
        <v>20939.439999999999</v>
      </c>
      <c r="AC68" s="56" t="s">
        <v>17</v>
      </c>
      <c r="AD68" s="38">
        <v>111.38</v>
      </c>
      <c r="AG68" s="52" t="s">
        <v>13</v>
      </c>
      <c r="AH68" s="41">
        <f>AJ67*AJ68+AJ69*AJ70</f>
        <v>6511.3580000000002</v>
      </c>
      <c r="AI68" s="56" t="s">
        <v>17</v>
      </c>
      <c r="AJ68" s="38">
        <v>551.80999999999995</v>
      </c>
      <c r="AL68" s="8"/>
      <c r="AM68" s="54" t="s">
        <v>12</v>
      </c>
      <c r="AN68" s="50">
        <v>57.17</v>
      </c>
      <c r="AO68" s="55" t="s">
        <v>18</v>
      </c>
      <c r="AP68" s="60">
        <v>307</v>
      </c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</row>
    <row r="69" spans="2:76">
      <c r="B69" s="8"/>
      <c r="C69" s="30"/>
      <c r="D69" s="30"/>
      <c r="E69" s="30"/>
      <c r="F69" s="30"/>
      <c r="G69" s="8"/>
      <c r="H69" t="s">
        <v>79</v>
      </c>
      <c r="U69" s="52" t="s">
        <v>2</v>
      </c>
      <c r="V69" s="41">
        <f>V68+V67</f>
        <v>35570</v>
      </c>
      <c r="W69" s="8"/>
      <c r="X69" s="38"/>
      <c r="Y69" s="20"/>
      <c r="AA69" s="52" t="s">
        <v>2</v>
      </c>
      <c r="AB69" s="41">
        <f>AB68+AB67</f>
        <v>24520.44</v>
      </c>
      <c r="AC69" s="8"/>
      <c r="AD69" s="38"/>
      <c r="AG69" s="52" t="s">
        <v>2</v>
      </c>
      <c r="AH69" s="41">
        <f>AH68+AH67</f>
        <v>7361.3580000000002</v>
      </c>
      <c r="AI69" s="8"/>
      <c r="AJ69" s="38"/>
      <c r="AL69" s="8"/>
      <c r="AM69" s="52" t="s">
        <v>13</v>
      </c>
      <c r="AN69" s="41">
        <f>AP68*AP69</f>
        <v>4819.8999999999996</v>
      </c>
      <c r="AO69" s="56" t="s">
        <v>17</v>
      </c>
      <c r="AP69" s="38">
        <v>15.7</v>
      </c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</row>
    <row r="70" spans="2:76">
      <c r="B70" s="8"/>
      <c r="C70" s="30"/>
      <c r="D70" s="30"/>
      <c r="E70" s="30"/>
      <c r="F70" s="30"/>
      <c r="G70" s="8"/>
      <c r="U70" s="58"/>
      <c r="V70" s="8"/>
      <c r="W70" s="8"/>
      <c r="X70" s="38"/>
      <c r="Y70" s="20"/>
      <c r="AA70" s="58"/>
      <c r="AB70" s="8"/>
      <c r="AC70" s="8"/>
      <c r="AD70" s="38"/>
      <c r="AE70" s="8"/>
      <c r="AF70" s="8"/>
      <c r="AG70" s="58"/>
      <c r="AH70" s="8"/>
      <c r="AI70" s="8"/>
      <c r="AJ70" s="38"/>
      <c r="AL70" s="8"/>
      <c r="AM70" s="52" t="s">
        <v>2</v>
      </c>
      <c r="AN70" s="41">
        <f>AN69+AN68</f>
        <v>4877.07</v>
      </c>
      <c r="AO70" s="8"/>
      <c r="AP70" s="38"/>
      <c r="AQ70" s="41"/>
      <c r="AR70" s="41"/>
      <c r="AS70" s="41"/>
      <c r="AT70" s="41"/>
      <c r="AU70" s="41"/>
      <c r="AV70" s="41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</row>
    <row r="71" spans="2:76">
      <c r="B71" s="8"/>
      <c r="C71" s="30"/>
      <c r="D71" s="30"/>
      <c r="E71" s="30"/>
      <c r="F71" s="30"/>
      <c r="G71" s="8"/>
      <c r="U71" s="53" t="s">
        <v>19</v>
      </c>
      <c r="V71" s="39">
        <f>(W71/X71)^(1/3.5)/A6</f>
        <v>0.99483341351400822</v>
      </c>
      <c r="W71" s="41">
        <v>17402</v>
      </c>
      <c r="X71" s="42">
        <v>12694</v>
      </c>
      <c r="Y71" s="20"/>
      <c r="AA71" s="53" t="s">
        <v>19</v>
      </c>
      <c r="AB71" s="39">
        <f>(AC71/AD71)^(1/AC66)/$A$3</f>
        <v>1.4789498822000107</v>
      </c>
      <c r="AC71" s="41">
        <v>21919</v>
      </c>
      <c r="AD71" s="42">
        <v>5147</v>
      </c>
      <c r="AE71" s="9"/>
      <c r="AF71" s="9"/>
      <c r="AG71" s="53" t="s">
        <v>19</v>
      </c>
      <c r="AH71" s="39">
        <f>(AI71/AJ71)^(1/AI66)/A4</f>
        <v>1.1546101807206932</v>
      </c>
      <c r="AI71" s="41">
        <v>5929</v>
      </c>
      <c r="AJ71" s="42">
        <v>2338</v>
      </c>
      <c r="AM71" s="58"/>
      <c r="AN71" s="8"/>
      <c r="AO71" s="8"/>
      <c r="AP71" s="3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</row>
    <row r="72" spans="2:76">
      <c r="B72" s="29">
        <v>0.22</v>
      </c>
      <c r="C72" s="29" t="s">
        <v>86</v>
      </c>
      <c r="D72" s="35">
        <v>4</v>
      </c>
      <c r="E72" s="34" t="s">
        <v>85</v>
      </c>
      <c r="F72" s="30"/>
      <c r="G72" s="27"/>
      <c r="H72" s="29">
        <v>0.31</v>
      </c>
      <c r="I72" s="29"/>
      <c r="J72" s="35">
        <v>2</v>
      </c>
      <c r="K72" s="34" t="s">
        <v>23</v>
      </c>
      <c r="N72" s="29">
        <v>1</v>
      </c>
      <c r="O72" s="29" t="s">
        <v>78</v>
      </c>
      <c r="P72" s="35">
        <v>3</v>
      </c>
      <c r="Q72" s="34" t="s">
        <v>88</v>
      </c>
      <c r="U72" s="53" t="s">
        <v>20</v>
      </c>
      <c r="V72" s="40">
        <f>V69/W71</f>
        <v>2.0440179289736813</v>
      </c>
      <c r="W72" s="8"/>
      <c r="X72" s="38"/>
      <c r="Y72" s="20"/>
      <c r="AA72" s="53" t="s">
        <v>20</v>
      </c>
      <c r="AB72" s="40">
        <f>AB69/AC71</f>
        <v>1.118684246544094</v>
      </c>
      <c r="AC72" s="8"/>
      <c r="AD72" s="38"/>
      <c r="AG72" s="53" t="s">
        <v>20</v>
      </c>
      <c r="AH72" s="40">
        <f>AH69/AI71</f>
        <v>1.241585090234441</v>
      </c>
      <c r="AI72" s="8"/>
      <c r="AJ72" s="38"/>
      <c r="AM72" s="53" t="s">
        <v>19</v>
      </c>
      <c r="AN72" s="39">
        <f>(AO72/AP72)^(1/AO67)/$A$4</f>
        <v>1.3886143572694312</v>
      </c>
      <c r="AO72" s="41">
        <v>8647</v>
      </c>
      <c r="AP72" s="42">
        <v>1809</v>
      </c>
      <c r="AQ72" s="6"/>
      <c r="AR72" s="6"/>
      <c r="AS72" s="6"/>
      <c r="AT72" s="6"/>
      <c r="AU72" s="6"/>
      <c r="AV72" s="6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</row>
    <row r="73" spans="2:76">
      <c r="B73" s="54" t="s">
        <v>12</v>
      </c>
      <c r="C73" s="50"/>
      <c r="D73" s="55" t="s">
        <v>18</v>
      </c>
      <c r="E73" s="60">
        <v>316.69</v>
      </c>
      <c r="F73" s="30"/>
      <c r="H73" s="54" t="s">
        <v>12</v>
      </c>
      <c r="I73" s="50"/>
      <c r="J73" s="55" t="s">
        <v>18</v>
      </c>
      <c r="K73" s="60">
        <v>147</v>
      </c>
      <c r="M73" s="75"/>
      <c r="N73" s="54" t="s">
        <v>12</v>
      </c>
      <c r="O73" s="50">
        <v>-1436</v>
      </c>
      <c r="P73" s="55" t="s">
        <v>18</v>
      </c>
      <c r="Q73" s="60">
        <v>3297</v>
      </c>
      <c r="U73" s="56" t="s">
        <v>16</v>
      </c>
      <c r="V73" s="39">
        <f xml:space="preserve"> 0.3 * A10</f>
        <v>1.2</v>
      </c>
      <c r="W73" s="8"/>
      <c r="X73" s="40">
        <f>SUM(V74:X74)/3</f>
        <v>1.1876428470531373</v>
      </c>
      <c r="Y73" s="20"/>
      <c r="AA73" s="56" t="s">
        <v>16</v>
      </c>
      <c r="AB73" s="39">
        <f xml:space="preserve"> AA66 * $A$10</f>
        <v>0.36</v>
      </c>
      <c r="AC73" s="8"/>
      <c r="AD73" s="40">
        <f>SUM(AB74:AD74)/3</f>
        <v>0.8281366796655073</v>
      </c>
      <c r="AG73" s="56" t="s">
        <v>16</v>
      </c>
      <c r="AH73" s="39">
        <f xml:space="preserve"> AG66 * A10</f>
        <v>0.4</v>
      </c>
      <c r="AI73" s="8"/>
      <c r="AJ73" s="40">
        <f>SUM(AH74:AJ74)/3</f>
        <v>0.5369298887508368</v>
      </c>
      <c r="AM73" s="53" t="s">
        <v>20</v>
      </c>
      <c r="AN73" s="40">
        <f>AN70/AO72</f>
        <v>0.56401873482132525</v>
      </c>
      <c r="AO73" s="8"/>
      <c r="AP73" s="3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</row>
    <row r="74" spans="2:76">
      <c r="B74" s="52" t="s">
        <v>13</v>
      </c>
      <c r="C74" s="41">
        <f>E73*E74+E75*E76</f>
        <v>7149387.0300000003</v>
      </c>
      <c r="D74" s="56" t="s">
        <v>17</v>
      </c>
      <c r="E74" s="38">
        <v>21587</v>
      </c>
      <c r="F74" s="66"/>
      <c r="G74" s="66"/>
      <c r="H74" s="52" t="s">
        <v>13</v>
      </c>
      <c r="I74" s="41">
        <f>K73*K74</f>
        <v>14700</v>
      </c>
      <c r="J74" s="56" t="s">
        <v>17</v>
      </c>
      <c r="K74" s="38">
        <v>100</v>
      </c>
      <c r="M74" s="75"/>
      <c r="N74" s="52" t="s">
        <v>13</v>
      </c>
      <c r="O74" s="41">
        <f>Q73*Q74</f>
        <v>155552.46</v>
      </c>
      <c r="P74" s="56" t="s">
        <v>17</v>
      </c>
      <c r="Q74" s="38">
        <v>47.18</v>
      </c>
      <c r="U74" s="52"/>
      <c r="V74" s="39">
        <f>V71*V73</f>
        <v>1.1938000962168098</v>
      </c>
      <c r="W74" s="39">
        <f>V74*V71</f>
        <v>1.1876322247727205</v>
      </c>
      <c r="X74" s="40">
        <f>W74*V71</f>
        <v>1.1814962201698813</v>
      </c>
      <c r="AA74" s="52"/>
      <c r="AB74" s="39">
        <f>AB71*AB73</f>
        <v>0.53242195759200384</v>
      </c>
      <c r="AC74" s="39">
        <f>AB74*AB71</f>
        <v>0.78742539146139312</v>
      </c>
      <c r="AD74" s="40">
        <f>AC74*AB71</f>
        <v>1.1645626899431247</v>
      </c>
      <c r="AG74" s="52"/>
      <c r="AH74" s="39">
        <f>AH71*AH73</f>
        <v>0.46184407228827729</v>
      </c>
      <c r="AI74" s="39">
        <f>AH74*AH71</f>
        <v>0.53324986776954875</v>
      </c>
      <c r="AJ74" s="40">
        <f>AI74*AH71</f>
        <v>0.61569572619468449</v>
      </c>
      <c r="AM74" s="56" t="s">
        <v>16</v>
      </c>
      <c r="AN74" s="39">
        <f xml:space="preserve"> AM67 * $A$10</f>
        <v>0.16600000000000001</v>
      </c>
      <c r="AO74" s="8"/>
      <c r="AP74" s="40">
        <f>SUM(AN75:AP75)/3</f>
        <v>0.33169343082864017</v>
      </c>
      <c r="AR74" s="20"/>
      <c r="AS74" s="20"/>
      <c r="AT74" s="20"/>
      <c r="AU74" s="29"/>
      <c r="AV74" s="29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</row>
    <row r="75" spans="2:76">
      <c r="B75" s="52" t="s">
        <v>2</v>
      </c>
      <c r="C75" s="41">
        <f>C74+C73</f>
        <v>7149387.0300000003</v>
      </c>
      <c r="D75" s="8"/>
      <c r="E75" s="38">
        <v>313</v>
      </c>
      <c r="F75" s="66"/>
      <c r="G75" s="66"/>
      <c r="H75" s="52" t="s">
        <v>2</v>
      </c>
      <c r="I75" s="41">
        <f>I74+I73</f>
        <v>14700</v>
      </c>
      <c r="J75" s="8"/>
      <c r="K75" s="38"/>
      <c r="N75" s="52" t="s">
        <v>2</v>
      </c>
      <c r="O75" s="41">
        <f>O74+O73</f>
        <v>154116.46</v>
      </c>
      <c r="P75" s="8"/>
      <c r="Q75" s="38"/>
      <c r="U75" s="52"/>
      <c r="V75" s="8"/>
      <c r="W75" s="8"/>
      <c r="X75" s="38"/>
      <c r="AA75" s="52"/>
      <c r="AB75" s="8"/>
      <c r="AC75" s="8"/>
      <c r="AD75" s="38"/>
      <c r="AG75" s="52"/>
      <c r="AH75" s="8"/>
      <c r="AI75" s="8"/>
      <c r="AJ75" s="38"/>
      <c r="AM75" s="52"/>
      <c r="AN75" s="39">
        <f>AN72*AN74</f>
        <v>0.23050998330672559</v>
      </c>
      <c r="AO75" s="39">
        <f>AN75*AN72</f>
        <v>0.32008947231365609</v>
      </c>
      <c r="AP75" s="40">
        <f>AO75*AN72</f>
        <v>0.44448083686553891</v>
      </c>
      <c r="AR75" s="20"/>
      <c r="AS75" s="31"/>
      <c r="AT75" s="31"/>
      <c r="AU75" s="31"/>
      <c r="AV75" s="31"/>
      <c r="AW75" s="31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</row>
    <row r="76" spans="2:76">
      <c r="B76" s="58"/>
      <c r="C76" s="8"/>
      <c r="D76" s="8"/>
      <c r="E76" s="38">
        <v>1000</v>
      </c>
      <c r="F76" s="29"/>
      <c r="G76" s="29"/>
      <c r="H76" s="58"/>
      <c r="I76" s="8"/>
      <c r="J76" s="8"/>
      <c r="K76" s="38"/>
      <c r="N76" s="58"/>
      <c r="O76" s="8"/>
      <c r="P76" s="8"/>
      <c r="Q76" s="38"/>
      <c r="U76" s="52"/>
      <c r="V76" s="45" t="s">
        <v>1</v>
      </c>
      <c r="W76" s="45" t="s">
        <v>6</v>
      </c>
      <c r="X76" s="46" t="s">
        <v>15</v>
      </c>
      <c r="AA76" s="52"/>
      <c r="AB76" s="45" t="s">
        <v>1</v>
      </c>
      <c r="AC76" s="45" t="s">
        <v>6</v>
      </c>
      <c r="AD76" s="46" t="s">
        <v>15</v>
      </c>
      <c r="AG76" s="52"/>
      <c r="AH76" s="45" t="s">
        <v>1</v>
      </c>
      <c r="AI76" s="45" t="s">
        <v>6</v>
      </c>
      <c r="AJ76" s="46" t="s">
        <v>15</v>
      </c>
      <c r="AM76" s="52"/>
      <c r="AN76" s="8"/>
      <c r="AO76" s="8"/>
      <c r="AP76" s="38"/>
      <c r="AR76" s="20"/>
      <c r="AS76" s="31"/>
      <c r="AT76" s="31"/>
      <c r="AU76" s="31"/>
      <c r="AV76" s="31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</row>
    <row r="77" spans="2:76">
      <c r="B77" s="53" t="s">
        <v>19</v>
      </c>
      <c r="C77" s="39">
        <f>((D77+D84)/E77)^(1/D72)/$A$4</f>
        <v>1.0773141650262297</v>
      </c>
      <c r="D77" s="41">
        <v>7173500</v>
      </c>
      <c r="E77" s="42">
        <v>5046500</v>
      </c>
      <c r="F77" s="66"/>
      <c r="G77" s="66"/>
      <c r="H77" s="53" t="s">
        <v>19</v>
      </c>
      <c r="I77" s="39">
        <f>((J77+J84)/K77)^(1/J72)/$A$2</f>
        <v>1.0685885928710912</v>
      </c>
      <c r="J77" s="41">
        <v>12637</v>
      </c>
      <c r="K77" s="42">
        <v>11427</v>
      </c>
      <c r="N77" s="53" t="s">
        <v>19</v>
      </c>
      <c r="O77" s="39">
        <f>(P77/Q77)^(1/P72)/$A$3</f>
        <v>1.2352331249874988</v>
      </c>
      <c r="P77" s="41">
        <v>39619</v>
      </c>
      <c r="Q77" s="42">
        <v>15968</v>
      </c>
      <c r="U77" s="57" t="s">
        <v>4</v>
      </c>
      <c r="V77" s="47">
        <f>V73/V72</f>
        <v>0.58707899915659256</v>
      </c>
      <c r="W77" s="49">
        <f>X73/V72</f>
        <v>0.58103347833620167</v>
      </c>
      <c r="X77" s="48">
        <f>X74/V72</f>
        <v>0.57802634870385927</v>
      </c>
      <c r="AA77" s="57" t="s">
        <v>4</v>
      </c>
      <c r="AB77" s="47">
        <f>AB73/AB72</f>
        <v>0.32180662337217442</v>
      </c>
      <c r="AC77" s="49">
        <f>AD73/AB72</f>
        <v>0.74027741270500269</v>
      </c>
      <c r="AD77" s="48">
        <f>AD74/AB72</f>
        <v>1.0410110748772596</v>
      </c>
      <c r="AG77" s="57" t="s">
        <v>4</v>
      </c>
      <c r="AH77" s="47">
        <f>AH73/AH72</f>
        <v>0.32216881722095297</v>
      </c>
      <c r="AI77" s="49">
        <f>AJ73/AH72</f>
        <v>0.43245516797358735</v>
      </c>
      <c r="AJ77" s="48">
        <f>AJ74/AH72</f>
        <v>0.495894909690343</v>
      </c>
      <c r="AM77" s="52"/>
      <c r="AN77" s="45" t="s">
        <v>1</v>
      </c>
      <c r="AO77" s="45" t="s">
        <v>6</v>
      </c>
      <c r="AP77" s="46" t="s">
        <v>15</v>
      </c>
      <c r="AR77" s="20"/>
      <c r="AS77" s="31"/>
      <c r="AT77" s="31"/>
      <c r="AU77" s="31"/>
      <c r="AV77" s="31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</row>
    <row r="78" spans="2:76" ht="15.75" thickBot="1">
      <c r="B78" s="53" t="s">
        <v>20</v>
      </c>
      <c r="C78" s="40">
        <f>C75/D77</f>
        <v>0.99663860458632469</v>
      </c>
      <c r="D78" s="8"/>
      <c r="E78" s="38"/>
      <c r="F78" s="28"/>
      <c r="G78" s="28"/>
      <c r="H78" s="53" t="s">
        <v>20</v>
      </c>
      <c r="I78" s="40">
        <f>I75/J77</f>
        <v>1.1632507715438791</v>
      </c>
      <c r="J78" s="8"/>
      <c r="K78" s="38"/>
      <c r="N78" s="53" t="s">
        <v>20</v>
      </c>
      <c r="O78" s="40">
        <f>O75/P78</f>
        <v>6.2920086551808607</v>
      </c>
      <c r="P78" s="8">
        <v>24494</v>
      </c>
      <c r="Q78" s="38"/>
      <c r="AH78" t="s">
        <v>77</v>
      </c>
      <c r="AM78" s="57" t="s">
        <v>4</v>
      </c>
      <c r="AN78" s="47">
        <f>AN74/AN73</f>
        <v>0.29431646459862176</v>
      </c>
      <c r="AO78" s="49">
        <f>AP74/AN73</f>
        <v>0.58808938489200524</v>
      </c>
      <c r="AP78" s="48">
        <f>AP75/AN73</f>
        <v>0.78806041257892856</v>
      </c>
      <c r="AS78" s="29"/>
      <c r="AT78" s="66"/>
      <c r="AU78" s="29"/>
      <c r="AV78" s="29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</row>
    <row r="79" spans="2:76" ht="17.25" thickBot="1">
      <c r="B79" s="56" t="s">
        <v>16</v>
      </c>
      <c r="C79" s="39">
        <f>B72 * $A$10</f>
        <v>0.88</v>
      </c>
      <c r="D79" s="8"/>
      <c r="E79" s="40">
        <f>SUM(C80:E80)/3</f>
        <v>1.0232220693188685</v>
      </c>
      <c r="F79" s="25"/>
      <c r="H79" s="56" t="s">
        <v>16</v>
      </c>
      <c r="I79" s="39">
        <f>H72*$A$10</f>
        <v>1.24</v>
      </c>
      <c r="J79" s="8"/>
      <c r="K79" s="40">
        <f>SUM(I80:K80)/3</f>
        <v>1.4180110128792371</v>
      </c>
      <c r="N79" s="56" t="s">
        <v>16</v>
      </c>
      <c r="O79" s="39">
        <f xml:space="preserve"> N72 * $A$10</f>
        <v>4</v>
      </c>
      <c r="P79" s="8"/>
      <c r="Q79" s="40">
        <f>SUM(O80:Q80)/3</f>
        <v>6.1943383714670945</v>
      </c>
      <c r="AH79" s="33"/>
      <c r="AI79" s="33"/>
      <c r="AJ79" s="33"/>
      <c r="AQ79" s="22"/>
      <c r="AR79" s="26"/>
      <c r="AS79" s="21"/>
      <c r="AT79" s="21"/>
      <c r="AU79" s="21"/>
      <c r="AV79" s="23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</row>
    <row r="80" spans="2:76">
      <c r="B80" s="52"/>
      <c r="C80" s="39">
        <f>C77*C79</f>
        <v>0.94803646522308216</v>
      </c>
      <c r="D80" s="39">
        <f>C80*C77</f>
        <v>1.0213331129462231</v>
      </c>
      <c r="E80" s="40">
        <f>D80*C77</f>
        <v>1.1002966297873003</v>
      </c>
      <c r="F80" s="25"/>
      <c r="H80" s="52"/>
      <c r="I80" s="39">
        <f>I77*I79</f>
        <v>1.3250498551601531</v>
      </c>
      <c r="J80" s="39">
        <f>I80*I77</f>
        <v>1.4159331602096312</v>
      </c>
      <c r="K80" s="40">
        <f>J80*I77</f>
        <v>1.5130500232679271</v>
      </c>
      <c r="N80" s="52"/>
      <c r="O80" s="39">
        <f>O77*O79</f>
        <v>4.9409324999499953</v>
      </c>
      <c r="P80" s="39">
        <f>O80*O77</f>
        <v>6.1032034922655276</v>
      </c>
      <c r="Q80" s="40">
        <f>P80*O77</f>
        <v>7.5388791221857634</v>
      </c>
      <c r="AS80" s="29">
        <v>0.1</v>
      </c>
      <c r="AT80" s="29"/>
      <c r="AU80" s="35">
        <v>3.5</v>
      </c>
      <c r="AV80" s="34" t="s">
        <v>109</v>
      </c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</row>
    <row r="81" spans="1:76">
      <c r="A81" s="8"/>
      <c r="B81" s="52"/>
      <c r="C81" s="8"/>
      <c r="D81" s="8"/>
      <c r="E81" s="38"/>
      <c r="F81" s="25"/>
      <c r="G81" s="8"/>
      <c r="H81" s="52"/>
      <c r="I81" s="8"/>
      <c r="J81" s="8"/>
      <c r="K81" s="38"/>
      <c r="N81" s="52"/>
      <c r="O81" s="8"/>
      <c r="P81" s="8"/>
      <c r="Q81" s="38"/>
      <c r="U81" s="29"/>
      <c r="V81" s="29"/>
      <c r="W81" s="35"/>
      <c r="X81" s="34" t="s">
        <v>24</v>
      </c>
      <c r="AA81" s="29"/>
      <c r="AB81" s="29"/>
      <c r="AC81" s="35"/>
      <c r="AD81" s="34" t="s">
        <v>29</v>
      </c>
      <c r="AG81" s="29"/>
      <c r="AH81" s="29"/>
      <c r="AI81" s="35"/>
      <c r="AJ81" s="34" t="s">
        <v>30</v>
      </c>
      <c r="AM81" s="29"/>
      <c r="AN81" s="29"/>
      <c r="AO81" s="35"/>
      <c r="AP81" s="34" t="s">
        <v>31</v>
      </c>
      <c r="AS81" s="54" t="s">
        <v>12</v>
      </c>
      <c r="AT81" s="50">
        <v>600</v>
      </c>
      <c r="AU81" s="55" t="s">
        <v>18</v>
      </c>
      <c r="AV81" s="51">
        <v>190</v>
      </c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</row>
    <row r="82" spans="1:76">
      <c r="A82" s="8"/>
      <c r="B82" s="52"/>
      <c r="C82" s="45" t="s">
        <v>1</v>
      </c>
      <c r="D82" s="45" t="s">
        <v>6</v>
      </c>
      <c r="E82" s="46" t="s">
        <v>15</v>
      </c>
      <c r="F82" s="25"/>
      <c r="G82" s="8"/>
      <c r="H82" s="52"/>
      <c r="I82" s="45" t="s">
        <v>1</v>
      </c>
      <c r="J82" s="45" t="s">
        <v>6</v>
      </c>
      <c r="K82" s="46" t="s">
        <v>15</v>
      </c>
      <c r="N82" s="52"/>
      <c r="O82" s="45" t="s">
        <v>1</v>
      </c>
      <c r="P82" s="45" t="s">
        <v>6</v>
      </c>
      <c r="Q82" s="46" t="s">
        <v>15</v>
      </c>
      <c r="U82" s="54" t="s">
        <v>12</v>
      </c>
      <c r="V82" s="50">
        <v>1615</v>
      </c>
      <c r="W82" s="55" t="s">
        <v>18</v>
      </c>
      <c r="X82" s="60">
        <v>415</v>
      </c>
      <c r="AA82" s="54" t="s">
        <v>12</v>
      </c>
      <c r="AB82" s="50">
        <v>-1623</v>
      </c>
      <c r="AC82" s="55" t="s">
        <v>18</v>
      </c>
      <c r="AD82" s="60">
        <v>3205</v>
      </c>
      <c r="AG82" s="54" t="s">
        <v>12</v>
      </c>
      <c r="AH82" s="50">
        <v>20124</v>
      </c>
      <c r="AI82" s="55" t="s">
        <v>18</v>
      </c>
      <c r="AJ82" s="60">
        <v>1306</v>
      </c>
      <c r="AM82" s="54" t="s">
        <v>12</v>
      </c>
      <c r="AN82" s="50">
        <v>469.66</v>
      </c>
      <c r="AO82" s="55" t="s">
        <v>18</v>
      </c>
      <c r="AP82" s="60">
        <v>151.5</v>
      </c>
      <c r="AS82" s="52" t="s">
        <v>13</v>
      </c>
      <c r="AT82" s="41">
        <f>AV81*AV82+AV83*AV84</f>
        <v>951.9</v>
      </c>
      <c r="AU82" s="56" t="s">
        <v>17</v>
      </c>
      <c r="AV82" s="38">
        <v>5.01</v>
      </c>
      <c r="BF82" s="29"/>
      <c r="BG82" s="29"/>
      <c r="BH82" s="29"/>
      <c r="BI82" s="29"/>
      <c r="BJ82" s="8"/>
      <c r="BK82" s="8"/>
      <c r="BL82" s="41"/>
      <c r="BM82" s="41"/>
      <c r="BN82" s="41"/>
      <c r="BO82" s="8"/>
      <c r="BP82" s="8"/>
      <c r="BQ82" s="8"/>
      <c r="BR82" s="8"/>
      <c r="BS82" s="8"/>
      <c r="BT82" s="8"/>
      <c r="BU82" s="8"/>
      <c r="BV82" s="8"/>
      <c r="BW82" s="8"/>
      <c r="BX82" s="8"/>
    </row>
    <row r="83" spans="1:76">
      <c r="A83" s="8"/>
      <c r="B83" s="57" t="s">
        <v>4</v>
      </c>
      <c r="C83" s="47">
        <f>C79/C78</f>
        <v>0.88296800460108815</v>
      </c>
      <c r="D83" s="49">
        <f>E79/C78</f>
        <v>1.0266731236480426</v>
      </c>
      <c r="E83" s="48">
        <f>E80/C78</f>
        <v>1.1040076359915849</v>
      </c>
      <c r="F83" s="25"/>
      <c r="G83" s="8"/>
      <c r="H83" s="57" t="s">
        <v>4</v>
      </c>
      <c r="I83" s="47">
        <f>I79/I78</f>
        <v>1.065978231292517</v>
      </c>
      <c r="J83" s="49">
        <f>K79/I78</f>
        <v>1.2190071544050964</v>
      </c>
      <c r="K83" s="48">
        <f>K80/I78</f>
        <v>1.3007083771453603</v>
      </c>
      <c r="N83" s="57" t="s">
        <v>4</v>
      </c>
      <c r="O83" s="47">
        <f>O79/O78</f>
        <v>0.63572703395860508</v>
      </c>
      <c r="P83" s="49">
        <f>Q79/O78</f>
        <v>0.98447709005718798</v>
      </c>
      <c r="Q83" s="48">
        <f>Q80/O78</f>
        <v>1.1981673159299018</v>
      </c>
      <c r="U83" s="52" t="s">
        <v>13</v>
      </c>
      <c r="V83" s="41">
        <f>X82*X83</f>
        <v>87150</v>
      </c>
      <c r="W83" s="56" t="s">
        <v>17</v>
      </c>
      <c r="X83" s="38">
        <v>210</v>
      </c>
      <c r="AA83" s="52" t="s">
        <v>13</v>
      </c>
      <c r="AB83" s="41">
        <f>AD82*AD83</f>
        <v>33652.5</v>
      </c>
      <c r="AC83" s="56" t="s">
        <v>17</v>
      </c>
      <c r="AD83" s="38">
        <v>10.5</v>
      </c>
      <c r="AG83" s="52" t="s">
        <v>13</v>
      </c>
      <c r="AH83" s="41">
        <f>AJ82*AJ83</f>
        <v>86196</v>
      </c>
      <c r="AI83" s="56" t="s">
        <v>17</v>
      </c>
      <c r="AJ83" s="38">
        <v>66</v>
      </c>
      <c r="AM83" s="52" t="s">
        <v>13</v>
      </c>
      <c r="AN83" s="41">
        <f>AP82*AP83</f>
        <v>15150</v>
      </c>
      <c r="AO83" s="56" t="s">
        <v>17</v>
      </c>
      <c r="AP83" s="38">
        <v>100</v>
      </c>
      <c r="AS83" s="52" t="s">
        <v>2</v>
      </c>
      <c r="AT83" s="41">
        <f>AT82+AT81</f>
        <v>1551.9</v>
      </c>
      <c r="AU83" s="8"/>
      <c r="AV83" s="38"/>
      <c r="BF83" s="29"/>
      <c r="BG83" s="29"/>
      <c r="BH83" s="29"/>
      <c r="BI83" s="6"/>
      <c r="BJ83" s="41"/>
      <c r="BK83" s="41"/>
      <c r="BL83" s="41"/>
      <c r="BM83" s="41"/>
      <c r="BN83" s="41"/>
      <c r="BO83" s="8"/>
      <c r="BP83" s="8"/>
      <c r="BQ83" s="8"/>
      <c r="BR83" s="8"/>
      <c r="BS83" s="8"/>
      <c r="BT83" s="8"/>
      <c r="BU83" s="8"/>
      <c r="BV83" s="8"/>
      <c r="BW83" s="8"/>
      <c r="BX83" s="8"/>
    </row>
    <row r="84" spans="1:76">
      <c r="A84" s="8"/>
      <c r="B84" t="s">
        <v>87</v>
      </c>
      <c r="C84" s="8">
        <v>111.84</v>
      </c>
      <c r="D84" s="70">
        <f>C84*(E74+E76)</f>
        <v>2526130.08</v>
      </c>
      <c r="E84" s="69"/>
      <c r="F84" s="69"/>
      <c r="G84" s="8"/>
      <c r="H84" s="29" t="s">
        <v>87</v>
      </c>
      <c r="I84" s="8">
        <v>27.11</v>
      </c>
      <c r="J84" s="70">
        <f>I84*(K74)</f>
        <v>2711</v>
      </c>
      <c r="K84" s="69"/>
      <c r="U84" s="52" t="s">
        <v>2</v>
      </c>
      <c r="V84" s="41">
        <f>V83+V82</f>
        <v>88765</v>
      </c>
      <c r="W84" s="8"/>
      <c r="X84" s="38"/>
      <c r="AA84" s="52" t="s">
        <v>2</v>
      </c>
      <c r="AB84" s="41">
        <f>AB83+AB82</f>
        <v>32029.5</v>
      </c>
      <c r="AC84" s="8"/>
      <c r="AD84" s="38"/>
      <c r="AG84" s="52" t="s">
        <v>2</v>
      </c>
      <c r="AH84" s="41">
        <f>AH83+AH82</f>
        <v>106320</v>
      </c>
      <c r="AI84" s="8"/>
      <c r="AJ84" s="38"/>
      <c r="AM84" s="52" t="s">
        <v>2</v>
      </c>
      <c r="AN84" s="41">
        <f>AN83+AN82</f>
        <v>15619.66</v>
      </c>
      <c r="AO84" s="8"/>
      <c r="AP84" s="38"/>
      <c r="AS84" s="58"/>
      <c r="AT84" s="8"/>
      <c r="AU84" s="8"/>
      <c r="AV84" s="38"/>
      <c r="BE84" s="6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</row>
    <row r="85" spans="1:76">
      <c r="A85" s="8"/>
      <c r="B85" s="8"/>
      <c r="C85" s="69"/>
      <c r="D85" s="69"/>
      <c r="E85" s="69"/>
      <c r="F85" s="69"/>
      <c r="G85" s="8"/>
      <c r="U85" s="58"/>
      <c r="V85" s="8"/>
      <c r="W85" s="8"/>
      <c r="X85" s="38"/>
      <c r="AA85" s="58"/>
      <c r="AB85" s="8"/>
      <c r="AC85" s="8"/>
      <c r="AD85" s="38"/>
      <c r="AG85" s="58"/>
      <c r="AH85" s="8"/>
      <c r="AI85" s="8"/>
      <c r="AJ85" s="38"/>
      <c r="AM85" s="58"/>
      <c r="AN85" s="8"/>
      <c r="AO85" s="8"/>
      <c r="AP85" s="38"/>
      <c r="AS85" s="53" t="s">
        <v>19</v>
      </c>
      <c r="AT85" s="39">
        <f>(AU85/AV85)^(1/AU80)/$A$4</f>
        <v>1.0563933785692918</v>
      </c>
      <c r="AU85" s="41">
        <v>1801</v>
      </c>
      <c r="AV85" s="42">
        <v>1089</v>
      </c>
      <c r="BE85" s="6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</row>
    <row r="86" spans="1:76">
      <c r="A86" s="8"/>
      <c r="B86" s="8"/>
      <c r="C86" s="69"/>
      <c r="D86" s="69"/>
      <c r="E86" s="69"/>
      <c r="F86" s="69"/>
      <c r="G86" s="8"/>
      <c r="S86" s="29"/>
      <c r="U86" s="53" t="s">
        <v>19</v>
      </c>
      <c r="V86" s="39">
        <f>(W86/X86)^(1/2)/A6</f>
        <v>1.6116699464400146</v>
      </c>
      <c r="W86" s="41">
        <v>19172</v>
      </c>
      <c r="X86" s="42">
        <v>6100</v>
      </c>
      <c r="AA86" s="53" t="s">
        <v>19</v>
      </c>
      <c r="AB86" s="39">
        <f>(AC86/AD86)^(1/2)/A6</f>
        <v>1.3230568706908648</v>
      </c>
      <c r="AC86" s="41">
        <v>7767</v>
      </c>
      <c r="AD86" s="42">
        <v>3667</v>
      </c>
      <c r="AG86" s="53" t="s">
        <v>19</v>
      </c>
      <c r="AH86" s="39">
        <f>(AI86/AJ86)^(1/2)/A6</f>
        <v>1.5759823283099015</v>
      </c>
      <c r="AI86" s="41">
        <v>52719</v>
      </c>
      <c r="AJ86" s="42">
        <v>17542</v>
      </c>
      <c r="AM86" s="53" t="s">
        <v>19</v>
      </c>
      <c r="AN86" s="39">
        <f>(AO86/AP86)^(1/2)/A6</f>
        <v>1.3156123475261361</v>
      </c>
      <c r="AO86" s="41">
        <v>6995</v>
      </c>
      <c r="AP86" s="42">
        <v>3340</v>
      </c>
      <c r="AS86" s="53" t="s">
        <v>20</v>
      </c>
      <c r="AT86" s="40">
        <f>AT83/AU85</f>
        <v>0.86168795113825658</v>
      </c>
      <c r="AU86" s="8"/>
      <c r="AV86" s="38"/>
      <c r="BE86" s="6"/>
      <c r="BG86" s="29"/>
      <c r="BH86" s="29"/>
      <c r="BI86" s="29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</row>
    <row r="87" spans="1:76">
      <c r="A87" s="8"/>
      <c r="B87" s="29">
        <v>0.14649999999999999</v>
      </c>
      <c r="C87" s="29"/>
      <c r="D87" s="35">
        <v>4</v>
      </c>
      <c r="E87" s="34" t="s">
        <v>27</v>
      </c>
      <c r="F87" s="69"/>
      <c r="G87" s="8"/>
      <c r="H87" s="29">
        <v>0.19</v>
      </c>
      <c r="I87" s="29"/>
      <c r="J87" s="35">
        <v>4</v>
      </c>
      <c r="K87" s="34" t="s">
        <v>96</v>
      </c>
      <c r="N87" s="29">
        <v>3.4799999999999998E-2</v>
      </c>
      <c r="O87" s="29"/>
      <c r="P87" s="35">
        <v>4</v>
      </c>
      <c r="Q87" s="34" t="s">
        <v>97</v>
      </c>
      <c r="S87" s="29"/>
      <c r="U87" s="53" t="s">
        <v>20</v>
      </c>
      <c r="V87" s="40">
        <f>V84/W86</f>
        <v>4.6299290632171921</v>
      </c>
      <c r="W87" s="8"/>
      <c r="X87" s="38"/>
      <c r="AA87" s="53" t="s">
        <v>20</v>
      </c>
      <c r="AB87" s="40">
        <f>AB84/AC86</f>
        <v>4.123792970258787</v>
      </c>
      <c r="AC87" s="8"/>
      <c r="AD87" s="38"/>
      <c r="AG87" s="53" t="s">
        <v>20</v>
      </c>
      <c r="AH87" s="40">
        <f>AH84/AI86</f>
        <v>2.0167302111193308</v>
      </c>
      <c r="AI87" s="8"/>
      <c r="AJ87" s="38"/>
      <c r="AM87" s="53" t="s">
        <v>20</v>
      </c>
      <c r="AN87" s="40">
        <f>AN84/AO86</f>
        <v>2.2329749821300928</v>
      </c>
      <c r="AO87" s="8"/>
      <c r="AP87" s="38"/>
      <c r="AS87" s="56" t="s">
        <v>16</v>
      </c>
      <c r="AT87" s="39">
        <f xml:space="preserve"> AS80 * $A$10</f>
        <v>0.4</v>
      </c>
      <c r="AU87" s="8"/>
      <c r="AV87" s="40">
        <f>SUM(AT88:AV88)/3</f>
        <v>0.44683472892873183</v>
      </c>
      <c r="BE87" s="6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</row>
    <row r="88" spans="1:76">
      <c r="A88" s="8"/>
      <c r="B88" s="54" t="s">
        <v>12</v>
      </c>
      <c r="C88" s="50">
        <v>6053</v>
      </c>
      <c r="D88" s="55" t="s">
        <v>18</v>
      </c>
      <c r="E88" s="51">
        <v>6240</v>
      </c>
      <c r="F88" s="69"/>
      <c r="G88" s="8"/>
      <c r="H88" s="54" t="s">
        <v>12</v>
      </c>
      <c r="I88" s="50">
        <v>-1532</v>
      </c>
      <c r="J88" s="55" t="s">
        <v>18</v>
      </c>
      <c r="K88" s="73">
        <v>1.4379999999999999</v>
      </c>
      <c r="N88" s="54" t="s">
        <v>12</v>
      </c>
      <c r="O88" s="50">
        <v>-32330</v>
      </c>
      <c r="P88" s="55" t="s">
        <v>18</v>
      </c>
      <c r="Q88" s="60">
        <v>120.9</v>
      </c>
      <c r="S88" s="75"/>
      <c r="U88" s="56" t="s">
        <v>16</v>
      </c>
      <c r="V88" s="39">
        <f>0.3151*A10</f>
        <v>1.2604</v>
      </c>
      <c r="W88" s="8"/>
      <c r="X88" s="40">
        <f>SUM(V89:X89)/3</f>
        <v>3.5272001761048855</v>
      </c>
      <c r="AA88" s="56" t="s">
        <v>16</v>
      </c>
      <c r="AB88" s="39">
        <f xml:space="preserve"> 0.3675 * A10</f>
        <v>1.47</v>
      </c>
      <c r="AC88" s="8"/>
      <c r="AD88" s="40">
        <f>SUM(AB89:AD89)/3</f>
        <v>2.6408649278256155</v>
      </c>
      <c r="AG88" s="56" t="s">
        <v>16</v>
      </c>
      <c r="AH88" s="39">
        <f xml:space="preserve"> 0.1 * A10</f>
        <v>0.4</v>
      </c>
      <c r="AI88" s="8"/>
      <c r="AJ88" s="40">
        <f>SUM(AH89:AJ89)/3</f>
        <v>1.0632002569829677</v>
      </c>
      <c r="AM88" s="56" t="s">
        <v>16</v>
      </c>
      <c r="AN88" s="39">
        <f xml:space="preserve"> 0.27 * A10</f>
        <v>1.08</v>
      </c>
      <c r="AO88" s="8"/>
      <c r="AP88" s="40">
        <f>SUM(AN89:AP89)/3</f>
        <v>1.9164805959334597</v>
      </c>
      <c r="AS88" s="52"/>
      <c r="AT88" s="39">
        <f>AT85*AT87</f>
        <v>0.42255735142771678</v>
      </c>
      <c r="AU88" s="39">
        <f>AT88*AT85</f>
        <v>0.44638678811401727</v>
      </c>
      <c r="AV88" s="40">
        <f>AU88*AT85</f>
        <v>0.47156004724446132</v>
      </c>
      <c r="BE88" s="6"/>
    </row>
    <row r="89" spans="1:76">
      <c r="A89" s="8"/>
      <c r="B89" s="52" t="s">
        <v>13</v>
      </c>
      <c r="C89" s="41">
        <f>E88*E89+E90*E91</f>
        <v>6229.1100000000006</v>
      </c>
      <c r="D89" s="56" t="s">
        <v>17</v>
      </c>
      <c r="E89" s="38">
        <v>0.80100000000000005</v>
      </c>
      <c r="F89" s="69"/>
      <c r="G89" s="8"/>
      <c r="H89" s="52" t="s">
        <v>13</v>
      </c>
      <c r="I89" s="41">
        <f>K88*K89+K90*K91</f>
        <v>2381.8335999999999</v>
      </c>
      <c r="J89" s="56" t="s">
        <v>17</v>
      </c>
      <c r="K89" s="38">
        <v>1526</v>
      </c>
      <c r="N89" s="52" t="s">
        <v>13</v>
      </c>
      <c r="O89" s="41">
        <f>Q88*Q89</f>
        <v>67335.255000000005</v>
      </c>
      <c r="P89" s="56" t="s">
        <v>17</v>
      </c>
      <c r="Q89" s="38">
        <v>556.95000000000005</v>
      </c>
      <c r="S89" s="75"/>
      <c r="U89" s="52"/>
      <c r="V89" s="39">
        <f>V86*V88</f>
        <v>2.0313488004929945</v>
      </c>
      <c r="W89" s="39">
        <f>V89*V86</f>
        <v>3.2738638124915322</v>
      </c>
      <c r="X89" s="40">
        <f>W89*V86</f>
        <v>5.2763879153301296</v>
      </c>
      <c r="AA89" s="52"/>
      <c r="AB89" s="39">
        <f>AB86*AB88</f>
        <v>1.9448935999155712</v>
      </c>
      <c r="AC89" s="39">
        <f>AB89*AB86</f>
        <v>2.5732048401309862</v>
      </c>
      <c r="AD89" s="40">
        <f>AC89*AB86</f>
        <v>3.4044963434302895</v>
      </c>
      <c r="AG89" s="52"/>
      <c r="AH89" s="39">
        <f>AH86*AH88</f>
        <v>0.63039293132396068</v>
      </c>
      <c r="AI89" s="39">
        <f>AH89*AH86</f>
        <v>0.9934881196580394</v>
      </c>
      <c r="AJ89" s="40">
        <f>AI89*AH86</f>
        <v>1.5657197199669028</v>
      </c>
      <c r="AM89" s="52"/>
      <c r="AN89" s="39">
        <f>AN86*AN88</f>
        <v>1.4208613353282271</v>
      </c>
      <c r="AO89" s="39">
        <f>AN89*AN86</f>
        <v>1.8693027168802894</v>
      </c>
      <c r="AP89" s="40">
        <f>AO89*AN86</f>
        <v>2.4592777355918618</v>
      </c>
      <c r="AS89" s="52"/>
      <c r="AT89" s="8"/>
      <c r="AU89" s="8"/>
      <c r="AV89" s="38"/>
      <c r="BE89" s="6"/>
    </row>
    <row r="90" spans="1:76">
      <c r="A90" s="8"/>
      <c r="B90" s="52" t="s">
        <v>2</v>
      </c>
      <c r="C90" s="41">
        <f>C89+C88</f>
        <v>12282.11</v>
      </c>
      <c r="D90" s="8"/>
      <c r="E90" s="38">
        <v>4610</v>
      </c>
      <c r="F90" s="69"/>
      <c r="G90" s="8"/>
      <c r="H90" s="52" t="s">
        <v>2</v>
      </c>
      <c r="I90" s="41">
        <f>I89+I88</f>
        <v>849.83359999999993</v>
      </c>
      <c r="J90" s="8"/>
      <c r="K90" s="38">
        <v>0.86</v>
      </c>
      <c r="N90" s="52" t="s">
        <v>2</v>
      </c>
      <c r="O90" s="41">
        <f>O89+O88</f>
        <v>35005.255000000005</v>
      </c>
      <c r="P90" s="8"/>
      <c r="Q90" s="38"/>
      <c r="U90" s="52"/>
      <c r="V90" s="8"/>
      <c r="W90" s="8"/>
      <c r="X90" s="38"/>
      <c r="AA90" s="52"/>
      <c r="AB90" s="8"/>
      <c r="AC90" s="8"/>
      <c r="AD90" s="38"/>
      <c r="AG90" s="52"/>
      <c r="AH90" s="8"/>
      <c r="AI90" s="8"/>
      <c r="AJ90" s="38"/>
      <c r="AM90" s="52"/>
      <c r="AN90" s="8"/>
      <c r="AO90" s="8"/>
      <c r="AP90" s="38"/>
      <c r="AS90" s="52"/>
      <c r="AT90" s="45" t="s">
        <v>1</v>
      </c>
      <c r="AU90" s="45" t="s">
        <v>6</v>
      </c>
      <c r="AV90" s="46" t="s">
        <v>15</v>
      </c>
      <c r="BE90" s="6"/>
    </row>
    <row r="91" spans="1:76">
      <c r="A91" s="8"/>
      <c r="B91" s="58"/>
      <c r="C91" s="8"/>
      <c r="D91" s="8"/>
      <c r="E91" s="38">
        <v>0.26700000000000002</v>
      </c>
      <c r="F91" s="69"/>
      <c r="G91" s="8"/>
      <c r="H91" s="58"/>
      <c r="I91" s="8"/>
      <c r="J91" s="8"/>
      <c r="K91" s="38">
        <v>217.96</v>
      </c>
      <c r="N91" s="58"/>
      <c r="O91" s="8"/>
      <c r="P91" s="8"/>
      <c r="Q91" s="38"/>
      <c r="U91" s="52"/>
      <c r="V91" s="45" t="s">
        <v>1</v>
      </c>
      <c r="W91" s="45" t="s">
        <v>6</v>
      </c>
      <c r="X91" s="46" t="s">
        <v>15</v>
      </c>
      <c r="AA91" s="52"/>
      <c r="AB91" s="45" t="s">
        <v>1</v>
      </c>
      <c r="AC91" s="45" t="s">
        <v>6</v>
      </c>
      <c r="AD91" s="46" t="s">
        <v>15</v>
      </c>
      <c r="AG91" s="52"/>
      <c r="AH91" s="45" t="s">
        <v>1</v>
      </c>
      <c r="AI91" s="45" t="s">
        <v>6</v>
      </c>
      <c r="AJ91" s="46" t="s">
        <v>15</v>
      </c>
      <c r="AM91" s="52"/>
      <c r="AN91" s="45" t="s">
        <v>1</v>
      </c>
      <c r="AO91" s="45" t="s">
        <v>6</v>
      </c>
      <c r="AP91" s="46" t="s">
        <v>15</v>
      </c>
      <c r="AS91" s="57" t="s">
        <v>4</v>
      </c>
      <c r="AT91" s="47">
        <f>AT87/AT86</f>
        <v>0.46420516785875376</v>
      </c>
      <c r="AU91" s="49">
        <f>AV87/AT86</f>
        <v>0.51855747586870671</v>
      </c>
      <c r="AV91" s="48">
        <f>AV88/AT86</f>
        <v>0.54725152721649251</v>
      </c>
    </row>
    <row r="92" spans="1:76">
      <c r="A92" s="8"/>
      <c r="B92" s="53" t="s">
        <v>19</v>
      </c>
      <c r="C92" s="39">
        <f>(D92/E92)^(1/D87)/$A$4</f>
        <v>1.1432058852141325</v>
      </c>
      <c r="D92" s="41">
        <v>20592</v>
      </c>
      <c r="E92" s="42">
        <v>8449</v>
      </c>
      <c r="F92" s="69"/>
      <c r="G92" s="8"/>
      <c r="H92" s="53" t="s">
        <v>19</v>
      </c>
      <c r="I92" s="39">
        <f>(J92/K92)^(1/J87)/$A$4</f>
        <v>1.1107246552222123</v>
      </c>
      <c r="J92" s="41">
        <v>2465</v>
      </c>
      <c r="K92" s="42">
        <v>1135</v>
      </c>
      <c r="N92" s="53" t="s">
        <v>19</v>
      </c>
      <c r="O92" s="39">
        <f>((P92+P99)/Q92)^(1/P87)/$A$4</f>
        <v>1.1218589802509404</v>
      </c>
      <c r="P92" s="41">
        <v>290000</v>
      </c>
      <c r="Q92" s="42">
        <v>131658</v>
      </c>
      <c r="S92" s="29"/>
      <c r="U92" s="57" t="s">
        <v>4</v>
      </c>
      <c r="V92" s="47">
        <f>V88/V87</f>
        <v>0.27222879288007656</v>
      </c>
      <c r="W92" s="49">
        <f>X88/V87</f>
        <v>0.76182596492179189</v>
      </c>
      <c r="X92" s="48">
        <f>X89/V87</f>
        <v>1.1396260813688868</v>
      </c>
      <c r="AA92" s="57" t="s">
        <v>4</v>
      </c>
      <c r="AB92" s="47">
        <f>AB88/AB87</f>
        <v>0.35646794361448042</v>
      </c>
      <c r="AC92" s="49">
        <f>AD88/AB87</f>
        <v>0.64039706815346964</v>
      </c>
      <c r="AD92" s="48">
        <f>AD89/AB87</f>
        <v>0.82557402080653963</v>
      </c>
      <c r="AG92" s="57" t="s">
        <v>4</v>
      </c>
      <c r="AH92" s="47">
        <f>AH88/AH87</f>
        <v>0.19834085778781038</v>
      </c>
      <c r="AI92" s="49">
        <f>AJ88/AH87</f>
        <v>0.5271901274255556</v>
      </c>
      <c r="AJ92" s="48">
        <f>AJ89/AH87</f>
        <v>0.7763654807838144</v>
      </c>
      <c r="AM92" s="57" t="s">
        <v>4</v>
      </c>
      <c r="AN92" s="47">
        <f>AN88/AN87</f>
        <v>0.48365969553754695</v>
      </c>
      <c r="AO92" s="49">
        <f>AP88/AN87</f>
        <v>0.85826335327110514</v>
      </c>
      <c r="AP92" s="48">
        <f>AP89/AN87</f>
        <v>1.101345852628359</v>
      </c>
      <c r="AS92" s="29" t="s">
        <v>107</v>
      </c>
      <c r="AT92" s="29"/>
      <c r="AU92" s="29"/>
      <c r="AV92" s="29"/>
    </row>
    <row r="93" spans="1:76">
      <c r="A93" s="8"/>
      <c r="B93" s="53" t="s">
        <v>20</v>
      </c>
      <c r="C93" s="40">
        <f>C90/D92</f>
        <v>0.59645056332556334</v>
      </c>
      <c r="D93" s="8"/>
      <c r="E93" s="38"/>
      <c r="F93" s="69"/>
      <c r="G93" s="8"/>
      <c r="H93" s="53" t="s">
        <v>20</v>
      </c>
      <c r="I93" s="40">
        <f>I90/J92</f>
        <v>0.34476008113590262</v>
      </c>
      <c r="J93" s="8"/>
      <c r="K93" s="38"/>
      <c r="N93" s="53" t="s">
        <v>20</v>
      </c>
      <c r="O93" s="40">
        <f>O90/P92</f>
        <v>0.12070777586206898</v>
      </c>
      <c r="P93" s="8"/>
      <c r="Q93" s="38"/>
      <c r="AA93" s="29"/>
      <c r="AB93" s="29"/>
      <c r="AC93" s="29"/>
      <c r="AD93" s="29"/>
    </row>
    <row r="94" spans="1:76">
      <c r="A94" s="8"/>
      <c r="B94" s="56" t="s">
        <v>16</v>
      </c>
      <c r="C94" s="39">
        <f xml:space="preserve"> B87 * $A$10</f>
        <v>0.58599999999999997</v>
      </c>
      <c r="D94" s="8"/>
      <c r="E94" s="40">
        <f>SUM(C95:E95)/3</f>
        <v>0.77043448910893453</v>
      </c>
      <c r="F94" s="69"/>
      <c r="G94" s="8"/>
      <c r="H94" s="56" t="s">
        <v>16</v>
      </c>
      <c r="I94" s="39">
        <f xml:space="preserve"> H87 * $A$10</f>
        <v>0.76</v>
      </c>
      <c r="J94" s="8"/>
      <c r="K94" s="40">
        <f>SUM(I95:K95)/3</f>
        <v>0.94106878579511977</v>
      </c>
      <c r="N94" s="56" t="s">
        <v>16</v>
      </c>
      <c r="O94" s="39">
        <f>N87*$A$10</f>
        <v>0.13919999999999999</v>
      </c>
      <c r="P94" s="8"/>
      <c r="Q94" s="40">
        <f>SUM(O95:Q95)/3</f>
        <v>0.17596559142867493</v>
      </c>
      <c r="S94" s="8"/>
    </row>
    <row r="95" spans="1:76">
      <c r="A95" s="8"/>
      <c r="B95" s="52"/>
      <c r="C95" s="39">
        <f>C92*C94</f>
        <v>0.66991864873548157</v>
      </c>
      <c r="D95" s="39">
        <f>C95*C92</f>
        <v>0.76585494184910163</v>
      </c>
      <c r="E95" s="40">
        <f>D95*C92</f>
        <v>0.87552987674222016</v>
      </c>
      <c r="F95" s="69"/>
      <c r="G95" s="8"/>
      <c r="H95" s="52"/>
      <c r="I95" s="39">
        <f>I92*I94</f>
        <v>0.8441507379688814</v>
      </c>
      <c r="J95" s="39">
        <f>I95*I92</f>
        <v>0.93761903738606189</v>
      </c>
      <c r="K95" s="40">
        <f>J95*I92</f>
        <v>1.0414365820304161</v>
      </c>
      <c r="N95" s="52"/>
      <c r="O95" s="39">
        <f>O92*O94</f>
        <v>0.1561627700509309</v>
      </c>
      <c r="P95" s="39">
        <f>O95*O92</f>
        <v>0.17519260596249944</v>
      </c>
      <c r="Q95" s="40">
        <f>P95*O92</f>
        <v>0.19654139827259445</v>
      </c>
      <c r="S95" s="8"/>
      <c r="U95" s="29"/>
      <c r="V95" s="29"/>
      <c r="W95" s="35"/>
      <c r="X95" s="34" t="s">
        <v>33</v>
      </c>
      <c r="AA95" s="29">
        <v>0.14599999999999999</v>
      </c>
      <c r="AB95" s="29" t="s">
        <v>78</v>
      </c>
      <c r="AC95" s="35">
        <v>4</v>
      </c>
      <c r="AD95" s="34" t="s">
        <v>80</v>
      </c>
      <c r="AG95" s="29">
        <v>0.12</v>
      </c>
      <c r="AH95" s="29"/>
      <c r="AI95" s="35">
        <v>4</v>
      </c>
      <c r="AJ95" s="34" t="s">
        <v>106</v>
      </c>
      <c r="AM95" s="29">
        <v>7.4999999999999997E-2</v>
      </c>
      <c r="AN95" s="29"/>
      <c r="AO95" s="35">
        <v>3.5</v>
      </c>
      <c r="AP95" s="34" t="s">
        <v>70</v>
      </c>
      <c r="AS95" s="29">
        <v>0.14499999999999999</v>
      </c>
      <c r="AT95" s="29"/>
      <c r="AU95" s="35">
        <v>2</v>
      </c>
      <c r="AV95" s="34" t="s">
        <v>69</v>
      </c>
    </row>
    <row r="96" spans="1:76">
      <c r="A96" s="8"/>
      <c r="B96" s="52"/>
      <c r="C96" s="8"/>
      <c r="D96" s="8"/>
      <c r="E96" s="38"/>
      <c r="F96" s="69"/>
      <c r="G96" s="8"/>
      <c r="H96" s="52"/>
      <c r="I96" s="8"/>
      <c r="J96" s="8"/>
      <c r="K96" s="38"/>
      <c r="N96" s="52"/>
      <c r="O96" s="8"/>
      <c r="P96" s="8"/>
      <c r="Q96" s="38"/>
      <c r="S96" s="8"/>
      <c r="U96" s="54" t="s">
        <v>12</v>
      </c>
      <c r="V96" s="50">
        <v>-1151</v>
      </c>
      <c r="W96" s="55" t="s">
        <v>18</v>
      </c>
      <c r="X96" s="60">
        <v>124.24</v>
      </c>
      <c r="AA96" s="54" t="s">
        <v>12</v>
      </c>
      <c r="AB96" s="50">
        <v>86059</v>
      </c>
      <c r="AC96" s="55" t="s">
        <v>18</v>
      </c>
      <c r="AD96" s="60">
        <v>294.12</v>
      </c>
      <c r="AG96" s="54" t="s">
        <v>12</v>
      </c>
      <c r="AH96" s="50">
        <v>9120</v>
      </c>
      <c r="AI96" s="55" t="s">
        <v>18</v>
      </c>
      <c r="AJ96" s="51">
        <v>1190</v>
      </c>
      <c r="AM96" s="54" t="s">
        <v>12</v>
      </c>
      <c r="AN96" s="50">
        <v>26170</v>
      </c>
      <c r="AO96" s="55" t="s">
        <v>18</v>
      </c>
      <c r="AP96" s="60">
        <v>126.85</v>
      </c>
      <c r="AS96" s="54" t="s">
        <v>12</v>
      </c>
      <c r="AT96" s="50">
        <v>8978</v>
      </c>
      <c r="AU96" s="55" t="s">
        <v>18</v>
      </c>
      <c r="AV96" s="60">
        <v>615</v>
      </c>
    </row>
    <row r="97" spans="1:48">
      <c r="A97" s="8"/>
      <c r="B97" s="52"/>
      <c r="C97" s="45" t="s">
        <v>1</v>
      </c>
      <c r="D97" s="45" t="s">
        <v>6</v>
      </c>
      <c r="E97" s="46" t="s">
        <v>15</v>
      </c>
      <c r="F97" s="69"/>
      <c r="G97" s="8"/>
      <c r="H97" s="52"/>
      <c r="I97" s="45" t="s">
        <v>1</v>
      </c>
      <c r="J97" s="45" t="s">
        <v>6</v>
      </c>
      <c r="K97" s="46" t="s">
        <v>15</v>
      </c>
      <c r="N97" s="52"/>
      <c r="O97" s="45" t="s">
        <v>1</v>
      </c>
      <c r="P97" s="45" t="s">
        <v>6</v>
      </c>
      <c r="Q97" s="46" t="s">
        <v>15</v>
      </c>
      <c r="S97" s="8"/>
      <c r="U97" s="52" t="s">
        <v>13</v>
      </c>
      <c r="V97" s="41">
        <f>X96*X97</f>
        <v>25986.038399999998</v>
      </c>
      <c r="W97" s="56" t="s">
        <v>17</v>
      </c>
      <c r="X97" s="38">
        <v>209.16</v>
      </c>
      <c r="AA97" s="52" t="s">
        <v>13</v>
      </c>
      <c r="AB97" s="41">
        <f>AD96*AD97+AD98*AD99</f>
        <v>36696.366999999998</v>
      </c>
      <c r="AC97" s="56" t="s">
        <v>17</v>
      </c>
      <c r="AD97" s="38">
        <v>124.6</v>
      </c>
      <c r="AG97" s="52" t="s">
        <v>13</v>
      </c>
      <c r="AH97" s="41">
        <f>AJ96*AJ97+AJ98*AJ99</f>
        <v>107883.29999999999</v>
      </c>
      <c r="AI97" s="56" t="s">
        <v>17</v>
      </c>
      <c r="AJ97" s="38">
        <v>79.709999999999994</v>
      </c>
      <c r="AM97" s="52" t="s">
        <v>13</v>
      </c>
      <c r="AN97" s="41">
        <f>AP96*AP97+AP98*AP99</f>
        <v>20188.177500000002</v>
      </c>
      <c r="AO97" s="56" t="s">
        <v>17</v>
      </c>
      <c r="AP97" s="38">
        <v>159.15</v>
      </c>
      <c r="AS97" s="52" t="s">
        <v>13</v>
      </c>
      <c r="AT97" s="41">
        <f>AV96*AV97+AV98*AV99</f>
        <v>24870.6</v>
      </c>
      <c r="AU97" s="56" t="s">
        <v>17</v>
      </c>
      <c r="AV97" s="38">
        <v>40.44</v>
      </c>
    </row>
    <row r="98" spans="1:48">
      <c r="A98" s="8"/>
      <c r="B98" s="57" t="s">
        <v>4</v>
      </c>
      <c r="C98" s="47">
        <f>C94/C93</f>
        <v>0.9824787434732305</v>
      </c>
      <c r="D98" s="49">
        <f>E94/C93</f>
        <v>1.2916988204576558</v>
      </c>
      <c r="E98" s="48">
        <f>E95/C93</f>
        <v>1.4679001590016534</v>
      </c>
      <c r="F98" s="69"/>
      <c r="G98" s="8"/>
      <c r="H98" s="57" t="s">
        <v>4</v>
      </c>
      <c r="I98" s="47">
        <f>I94/I93</f>
        <v>2.2044315498940028</v>
      </c>
      <c r="J98" s="49">
        <f>K94/I93</f>
        <v>2.729633844772636</v>
      </c>
      <c r="K98" s="48">
        <f>K95/I93</f>
        <v>3.0207574455810828</v>
      </c>
      <c r="N98" s="57" t="s">
        <v>4</v>
      </c>
      <c r="O98" s="47">
        <f>O94/O93</f>
        <v>1.1531982840862034</v>
      </c>
      <c r="P98" s="49">
        <f>Q94/O93</f>
        <v>1.457781739179324</v>
      </c>
      <c r="Q98" s="48">
        <f>Q95/O93</f>
        <v>1.6282414025851943</v>
      </c>
      <c r="S98" s="8"/>
      <c r="U98" s="52" t="s">
        <v>2</v>
      </c>
      <c r="V98" s="41">
        <f>V97+V96</f>
        <v>24835.038399999998</v>
      </c>
      <c r="W98" s="8"/>
      <c r="X98" s="38"/>
      <c r="AA98" s="52" t="s">
        <v>2</v>
      </c>
      <c r="AB98" s="41">
        <f>AB97+AB96</f>
        <v>122755.367</v>
      </c>
      <c r="AC98" s="8"/>
      <c r="AD98" s="38">
        <v>98.03</v>
      </c>
      <c r="AG98" s="52" t="s">
        <v>2</v>
      </c>
      <c r="AH98" s="41">
        <f>AH97+AH96</f>
        <v>117003.29999999999</v>
      </c>
      <c r="AI98" s="8"/>
      <c r="AJ98" s="38">
        <v>840</v>
      </c>
      <c r="AM98" s="52" t="s">
        <v>2</v>
      </c>
      <c r="AN98" s="41">
        <f>AN97+AN96</f>
        <v>46358.177500000005</v>
      </c>
      <c r="AO98" s="8"/>
      <c r="AP98" s="38"/>
      <c r="AS98" s="52" t="s">
        <v>2</v>
      </c>
      <c r="AT98" s="41">
        <f>AT97+AT96</f>
        <v>33848.6</v>
      </c>
      <c r="AU98" s="8"/>
      <c r="AV98" s="38"/>
    </row>
    <row r="99" spans="1:48">
      <c r="A99" s="8"/>
      <c r="F99" s="69"/>
      <c r="G99" s="8"/>
      <c r="N99" s="29" t="s">
        <v>87</v>
      </c>
      <c r="O99" s="8">
        <v>13.6</v>
      </c>
      <c r="P99" s="70">
        <f>O99*(Q89)</f>
        <v>7574.52</v>
      </c>
      <c r="Q99" s="69"/>
      <c r="S99" s="8"/>
      <c r="U99" s="58"/>
      <c r="V99" s="8"/>
      <c r="W99" s="8"/>
      <c r="X99" s="38"/>
      <c r="AA99" s="58"/>
      <c r="AB99" s="8"/>
      <c r="AC99" s="8"/>
      <c r="AD99" s="38">
        <v>0.5</v>
      </c>
      <c r="AG99" s="58"/>
      <c r="AH99" s="8"/>
      <c r="AI99" s="8"/>
      <c r="AJ99" s="38">
        <v>15.51</v>
      </c>
      <c r="AM99" s="58"/>
      <c r="AN99" s="8"/>
      <c r="AO99" s="8"/>
      <c r="AP99" s="38"/>
      <c r="AS99" s="58"/>
      <c r="AT99" s="8"/>
      <c r="AU99" s="8"/>
      <c r="AV99" s="38"/>
    </row>
    <row r="100" spans="1:48">
      <c r="A100" s="8"/>
      <c r="B100" s="8"/>
      <c r="C100" s="69"/>
      <c r="D100" s="69"/>
      <c r="E100" s="69"/>
      <c r="F100" s="69"/>
      <c r="G100" s="8"/>
      <c r="N100" s="8"/>
      <c r="S100" s="8"/>
      <c r="U100" s="53" t="s">
        <v>19</v>
      </c>
      <c r="V100" s="39">
        <f>(W100/X100)^(1/3)/A6</f>
        <v>1.1765456644980743</v>
      </c>
      <c r="W100" s="41">
        <v>4433</v>
      </c>
      <c r="X100" s="42">
        <v>2045</v>
      </c>
      <c r="AA100" s="53" t="s">
        <v>19</v>
      </c>
      <c r="AB100" s="39">
        <f>(AC100/AD100)^(1/AC95)/A4</f>
        <v>0.97298615842719771</v>
      </c>
      <c r="AC100" s="41">
        <v>352063</v>
      </c>
      <c r="AD100" s="42">
        <v>275295</v>
      </c>
      <c r="AG100" s="53" t="s">
        <v>19</v>
      </c>
      <c r="AH100" s="39">
        <f>(AI100/AJ100)^(1/AI95)/$A$4</f>
        <v>1.0210496115077834</v>
      </c>
      <c r="AI100" s="41">
        <v>191697</v>
      </c>
      <c r="AJ100" s="42">
        <v>123604</v>
      </c>
      <c r="AM100" s="53" t="s">
        <v>19</v>
      </c>
      <c r="AN100" s="39">
        <f>((AO100+AO107)/AP100)^(1/AO95)/A4</f>
        <v>1.2936446995999749</v>
      </c>
      <c r="AO100" s="41">
        <v>82249</v>
      </c>
      <c r="AP100" s="42">
        <v>26311</v>
      </c>
      <c r="AS100" s="53" t="s">
        <v>19</v>
      </c>
      <c r="AT100" s="39">
        <f>((AU100+AU107)/AV100)^(1/AU95)/A2</f>
        <v>1.2138633110534054</v>
      </c>
      <c r="AU100" s="41">
        <v>22564</v>
      </c>
      <c r="AV100" s="42">
        <v>14419</v>
      </c>
    </row>
    <row r="101" spans="1:48">
      <c r="A101" s="8"/>
      <c r="B101" s="8"/>
      <c r="C101" s="69"/>
      <c r="D101" s="69"/>
      <c r="E101" s="69"/>
      <c r="F101" s="69"/>
      <c r="G101" s="8"/>
      <c r="N101" s="8"/>
      <c r="S101" s="8"/>
      <c r="U101" s="53" t="s">
        <v>20</v>
      </c>
      <c r="V101" s="40">
        <f>V98/W100</f>
        <v>5.6023095871870057</v>
      </c>
      <c r="W101" s="8"/>
      <c r="X101" s="38"/>
      <c r="AA101" s="53" t="s">
        <v>20</v>
      </c>
      <c r="AB101" s="40">
        <f>AB98/AC100</f>
        <v>0.34867443326904557</v>
      </c>
      <c r="AC101" s="8"/>
      <c r="AD101" s="38"/>
      <c r="AG101" s="53" t="s">
        <v>20</v>
      </c>
      <c r="AH101" s="40">
        <f>AH98/AI100</f>
        <v>0.61035540462292048</v>
      </c>
      <c r="AI101" s="8"/>
      <c r="AJ101" s="38"/>
      <c r="AM101" s="53" t="s">
        <v>20</v>
      </c>
      <c r="AN101" s="40">
        <f>AN98/AO100</f>
        <v>0.56363211102870558</v>
      </c>
      <c r="AO101" s="8"/>
      <c r="AP101" s="38"/>
      <c r="AS101" s="53" t="s">
        <v>20</v>
      </c>
      <c r="AT101" s="40">
        <f>AT98/AU100</f>
        <v>1.50011522779649</v>
      </c>
      <c r="AU101" s="8"/>
      <c r="AV101" s="38"/>
    </row>
    <row r="102" spans="1:48">
      <c r="A102" s="8"/>
      <c r="F102" s="69"/>
      <c r="G102" s="8"/>
      <c r="H102" s="29">
        <v>0.16</v>
      </c>
      <c r="I102" s="29"/>
      <c r="J102" s="35">
        <v>4</v>
      </c>
      <c r="K102" s="34" t="s">
        <v>35</v>
      </c>
      <c r="N102" s="29">
        <v>0.22500000000000001</v>
      </c>
      <c r="O102" s="29"/>
      <c r="P102" s="35">
        <v>4</v>
      </c>
      <c r="Q102" s="34" t="s">
        <v>99</v>
      </c>
      <c r="R102" s="30">
        <f>R117*Q121</f>
        <v>19.1334393638171</v>
      </c>
      <c r="S102" s="8"/>
      <c r="U102" s="56" t="s">
        <v>16</v>
      </c>
      <c r="V102" s="39">
        <f>0.43*A10</f>
        <v>1.72</v>
      </c>
      <c r="W102" s="8"/>
      <c r="X102" s="40">
        <f>SUM(V103:X103)/3</f>
        <v>2.4019513989717018</v>
      </c>
      <c r="AA102" s="56" t="s">
        <v>16</v>
      </c>
      <c r="AB102" s="39">
        <f>AA95 *A10</f>
        <v>0.58399999999999996</v>
      </c>
      <c r="AC102" s="8"/>
      <c r="AD102" s="40">
        <f>SUM(AB103:AD103)/3</f>
        <v>0.55301222568272679</v>
      </c>
      <c r="AG102" s="56" t="s">
        <v>16</v>
      </c>
      <c r="AH102" s="39">
        <f xml:space="preserve"> AG95 * $A$10</f>
        <v>0.48</v>
      </c>
      <c r="AI102" s="8"/>
      <c r="AJ102" s="40">
        <f>SUM(AH103:AJ103)/3</f>
        <v>0.50049269446662781</v>
      </c>
      <c r="AM102" s="56" t="s">
        <v>16</v>
      </c>
      <c r="AN102" s="39">
        <f>AM95*A10</f>
        <v>0.3</v>
      </c>
      <c r="AO102" s="8"/>
      <c r="AP102" s="40">
        <f>SUM(AN103:AP103)/3</f>
        <v>0.51320971990737518</v>
      </c>
      <c r="AS102" s="56" t="s">
        <v>16</v>
      </c>
      <c r="AT102" s="39">
        <f>AS95*$A$10</f>
        <v>0.57999999999999996</v>
      </c>
      <c r="AU102" s="8"/>
      <c r="AV102" s="40">
        <f>SUM(AT103:AV103)/3</f>
        <v>0.8653428911891603</v>
      </c>
    </row>
    <row r="103" spans="1:48">
      <c r="A103" s="8"/>
      <c r="B103" s="29">
        <v>0.25</v>
      </c>
      <c r="C103" s="29"/>
      <c r="D103" s="35">
        <v>4</v>
      </c>
      <c r="E103" s="34" t="s">
        <v>110</v>
      </c>
      <c r="F103" s="8"/>
      <c r="G103" s="8"/>
      <c r="H103" s="54" t="s">
        <v>12</v>
      </c>
      <c r="I103" s="50">
        <v>1306</v>
      </c>
      <c r="J103" s="55" t="s">
        <v>18</v>
      </c>
      <c r="K103" s="60">
        <v>31600</v>
      </c>
      <c r="N103" s="54" t="s">
        <v>12</v>
      </c>
      <c r="O103" s="50"/>
      <c r="P103" s="55" t="s">
        <v>18</v>
      </c>
      <c r="Q103" s="60">
        <v>143.5</v>
      </c>
      <c r="R103" s="30">
        <f>R102/Q103</f>
        <v>0.13333407222172194</v>
      </c>
      <c r="S103" s="8"/>
      <c r="U103" s="52"/>
      <c r="V103" s="39">
        <f>V100*V102</f>
        <v>2.0236585429366878</v>
      </c>
      <c r="W103" s="39">
        <f>V103*V100</f>
        <v>2.3809266851166502</v>
      </c>
      <c r="X103" s="40">
        <f>W103*V100</f>
        <v>2.8012689688617667</v>
      </c>
      <c r="AA103" s="52"/>
      <c r="AB103" s="39">
        <f>AB100*AB102</f>
        <v>0.56822391652148341</v>
      </c>
      <c r="AC103" s="39">
        <f>AB103*AB100</f>
        <v>0.55287400566269485</v>
      </c>
      <c r="AD103" s="40">
        <f>AC103*AB100</f>
        <v>0.53793875486400222</v>
      </c>
      <c r="AE103" s="29"/>
      <c r="AG103" s="52"/>
      <c r="AH103" s="39">
        <f>AH100*AH102</f>
        <v>0.490103813523736</v>
      </c>
      <c r="AI103" s="39">
        <f>AH103*AH100</f>
        <v>0.50042030839689378</v>
      </c>
      <c r="AJ103" s="40">
        <f>AI103*AH100</f>
        <v>0.51095396147925354</v>
      </c>
      <c r="AM103" s="52"/>
      <c r="AN103" s="39">
        <f>AN100*AN102</f>
        <v>0.38809340987999247</v>
      </c>
      <c r="AO103" s="39">
        <f>AN103*AN100</f>
        <v>0.50205498264093273</v>
      </c>
      <c r="AP103" s="40">
        <f>AO103*AN100</f>
        <v>0.64948076720120007</v>
      </c>
      <c r="AS103" s="52"/>
      <c r="AT103" s="39">
        <f>AT100*AT102</f>
        <v>0.7040407204109751</v>
      </c>
      <c r="AU103" s="39">
        <f>AT103*AT100</f>
        <v>0.85460919999449103</v>
      </c>
      <c r="AV103" s="40">
        <f>AU103*AT100</f>
        <v>1.0373787531620149</v>
      </c>
    </row>
    <row r="104" spans="1:48">
      <c r="A104" s="8"/>
      <c r="B104" s="54" t="s">
        <v>12</v>
      </c>
      <c r="C104" s="50">
        <v>-1519</v>
      </c>
      <c r="D104" s="55" t="s">
        <v>18</v>
      </c>
      <c r="E104" s="51">
        <v>6240</v>
      </c>
      <c r="F104" s="8"/>
      <c r="G104" s="8"/>
      <c r="H104" s="52" t="s">
        <v>13</v>
      </c>
      <c r="I104" s="41">
        <f>K103*K104</f>
        <v>17309.216</v>
      </c>
      <c r="J104" s="56" t="s">
        <v>17</v>
      </c>
      <c r="K104" s="38">
        <v>0.54776000000000002</v>
      </c>
      <c r="N104" s="52" t="s">
        <v>13</v>
      </c>
      <c r="O104" s="41">
        <f>Q103*Q104</f>
        <v>3428.2150000000001</v>
      </c>
      <c r="P104" s="56" t="s">
        <v>17</v>
      </c>
      <c r="Q104" s="38">
        <v>23.89</v>
      </c>
      <c r="S104" s="8"/>
      <c r="U104" s="52"/>
      <c r="V104" s="8"/>
      <c r="W104" s="8"/>
      <c r="X104" s="38"/>
      <c r="AA104" s="52"/>
      <c r="AB104" s="8"/>
      <c r="AC104" s="8"/>
      <c r="AD104" s="38"/>
      <c r="AG104" s="52"/>
      <c r="AH104" s="8"/>
      <c r="AI104" s="8"/>
      <c r="AJ104" s="38"/>
      <c r="AM104" s="52"/>
      <c r="AN104" s="8"/>
      <c r="AO104" s="8"/>
      <c r="AP104" s="38"/>
      <c r="AS104" s="52"/>
      <c r="AT104" s="8"/>
      <c r="AU104" s="8"/>
      <c r="AV104" s="38"/>
    </row>
    <row r="105" spans="1:48">
      <c r="A105" s="8"/>
      <c r="B105" s="52" t="s">
        <v>13</v>
      </c>
      <c r="C105" s="41">
        <f>E104*E105+E106*E107</f>
        <v>3918.45</v>
      </c>
      <c r="D105" s="56" t="s">
        <v>17</v>
      </c>
      <c r="E105" s="38">
        <v>0.44400000000000001</v>
      </c>
      <c r="F105" s="8"/>
      <c r="G105" s="8"/>
      <c r="H105" s="52" t="s">
        <v>2</v>
      </c>
      <c r="I105" s="41">
        <f>I104+I103</f>
        <v>18615.216</v>
      </c>
      <c r="J105" s="8"/>
      <c r="K105" s="38"/>
      <c r="N105" s="52" t="s">
        <v>2</v>
      </c>
      <c r="O105" s="41">
        <f>O104+O103</f>
        <v>3428.2150000000001</v>
      </c>
      <c r="P105" s="8"/>
      <c r="Q105" s="38"/>
      <c r="S105" s="8"/>
      <c r="U105" s="52"/>
      <c r="V105" s="45" t="s">
        <v>1</v>
      </c>
      <c r="W105" s="45" t="s">
        <v>6</v>
      </c>
      <c r="X105" s="46" t="s">
        <v>15</v>
      </c>
      <c r="AA105" s="52"/>
      <c r="AB105" s="45" t="s">
        <v>1</v>
      </c>
      <c r="AC105" s="45" t="s">
        <v>6</v>
      </c>
      <c r="AD105" s="46" t="s">
        <v>15</v>
      </c>
      <c r="AG105" s="52"/>
      <c r="AH105" s="45" t="s">
        <v>1</v>
      </c>
      <c r="AI105" s="45" t="s">
        <v>6</v>
      </c>
      <c r="AJ105" s="46" t="s">
        <v>15</v>
      </c>
      <c r="AM105" s="52"/>
      <c r="AN105" s="45" t="s">
        <v>1</v>
      </c>
      <c r="AO105" s="45" t="s">
        <v>6</v>
      </c>
      <c r="AP105" s="46" t="s">
        <v>15</v>
      </c>
      <c r="AS105" s="52"/>
      <c r="AT105" s="45" t="s">
        <v>1</v>
      </c>
      <c r="AU105" s="45" t="s">
        <v>6</v>
      </c>
      <c r="AV105" s="46" t="s">
        <v>15</v>
      </c>
    </row>
    <row r="106" spans="1:48">
      <c r="A106" s="8"/>
      <c r="B106" s="52" t="s">
        <v>2</v>
      </c>
      <c r="C106" s="41">
        <f>C105+C104</f>
        <v>2399.4499999999998</v>
      </c>
      <c r="D106" s="8"/>
      <c r="E106" s="38">
        <v>4610</v>
      </c>
      <c r="F106" s="69"/>
      <c r="G106" s="8"/>
      <c r="H106" s="58"/>
      <c r="I106" s="8"/>
      <c r="J106" s="8"/>
      <c r="K106" s="38"/>
      <c r="N106" s="58"/>
      <c r="O106" s="8"/>
      <c r="P106" s="8"/>
      <c r="Q106" s="38"/>
      <c r="S106" s="8"/>
      <c r="U106" s="57" t="s">
        <v>4</v>
      </c>
      <c r="V106" s="47">
        <f>V102/V101</f>
        <v>0.30701623557787616</v>
      </c>
      <c r="W106" s="49">
        <f>X102/V101</f>
        <v>0.42874306776354959</v>
      </c>
      <c r="X106" s="48">
        <f>X103/V101</f>
        <v>0.50002038003549909</v>
      </c>
      <c r="AA106" s="57" t="s">
        <v>4</v>
      </c>
      <c r="AB106" s="47">
        <f>AB102/AB101</f>
        <v>1.6749148898719841</v>
      </c>
      <c r="AC106" s="49">
        <f>AD102/AB101</f>
        <v>1.5860417997898035</v>
      </c>
      <c r="AD106" s="48">
        <f>AD103/AB101</f>
        <v>1.5428110108919737</v>
      </c>
      <c r="AG106" s="57" t="s">
        <v>4</v>
      </c>
      <c r="AH106" s="47">
        <f>AH102/AH101</f>
        <v>0.78642704949347586</v>
      </c>
      <c r="AI106" s="49">
        <f>AJ102/AH101</f>
        <v>0.8200020687550621</v>
      </c>
      <c r="AJ106" s="48">
        <f>AJ103/AH101</f>
        <v>0.83714170073569272</v>
      </c>
      <c r="AM106" s="57" t="s">
        <v>4</v>
      </c>
      <c r="AN106" s="47">
        <f>AN102/AN101</f>
        <v>0.53226208040641798</v>
      </c>
      <c r="AO106" s="49">
        <f>AP102/AN101</f>
        <v>0.91054024400898192</v>
      </c>
      <c r="AP106" s="48">
        <f>AP103/AN101</f>
        <v>1.1523132811148906</v>
      </c>
      <c r="AS106" s="57" t="s">
        <v>4</v>
      </c>
      <c r="AT106" s="47">
        <f>AT102/AT101</f>
        <v>0.3866369657829275</v>
      </c>
      <c r="AU106" s="49">
        <f>AV102/AT101</f>
        <v>0.57685094795034986</v>
      </c>
      <c r="AV106" s="48">
        <f>AV103/AT101</f>
        <v>0.69153271291420337</v>
      </c>
    </row>
    <row r="107" spans="1:48">
      <c r="A107" s="8"/>
      <c r="B107" s="58"/>
      <c r="C107" s="8"/>
      <c r="D107" s="8"/>
      <c r="E107" s="38">
        <v>0.249</v>
      </c>
      <c r="F107" s="69"/>
      <c r="G107" s="8"/>
      <c r="H107" s="53" t="s">
        <v>19</v>
      </c>
      <c r="I107" s="39">
        <f>(J107/K107)^(1/J102)/$A$4</f>
        <v>1.0512614726531251</v>
      </c>
      <c r="J107" s="41">
        <v>62614</v>
      </c>
      <c r="K107" s="42">
        <v>35928</v>
      </c>
      <c r="N107" s="53" t="s">
        <v>19</v>
      </c>
      <c r="O107" s="39">
        <f>((P107+P114)/Q107)^(1/P102)/$A$2</f>
        <v>1.0628028959042313</v>
      </c>
      <c r="P107" s="41">
        <v>3774</v>
      </c>
      <c r="Q107" s="42">
        <v>2661</v>
      </c>
      <c r="S107" s="8"/>
      <c r="AA107" t="s">
        <v>81</v>
      </c>
      <c r="AG107" t="s">
        <v>107</v>
      </c>
      <c r="AH107" t="s">
        <v>108</v>
      </c>
      <c r="AM107" t="s">
        <v>91</v>
      </c>
      <c r="AN107">
        <v>38.82</v>
      </c>
      <c r="AO107">
        <f>AP97*AN107</f>
        <v>6178.2030000000004</v>
      </c>
      <c r="AS107" t="s">
        <v>112</v>
      </c>
      <c r="AT107">
        <v>60</v>
      </c>
      <c r="AU107">
        <f>AV97*AT107</f>
        <v>2426.3999999999996</v>
      </c>
    </row>
    <row r="108" spans="1:48">
      <c r="A108" s="8"/>
      <c r="B108" s="53" t="s">
        <v>19</v>
      </c>
      <c r="C108" s="39">
        <f>(D108/E108)^(1/D103)/$A$3</f>
        <v>0.99158488467080941</v>
      </c>
      <c r="D108" s="41">
        <v>4497</v>
      </c>
      <c r="E108" s="42">
        <v>3224</v>
      </c>
      <c r="F108" s="8"/>
      <c r="G108" s="8"/>
      <c r="H108" s="53" t="s">
        <v>20</v>
      </c>
      <c r="I108" s="40">
        <f>I105/J107</f>
        <v>0.29730117865014216</v>
      </c>
      <c r="J108" s="8"/>
      <c r="K108" s="38"/>
      <c r="N108" s="53" t="s">
        <v>20</v>
      </c>
      <c r="O108" s="40">
        <f>O105/P107</f>
        <v>0.90837705352411235</v>
      </c>
      <c r="P108" s="8"/>
      <c r="Q108" s="38"/>
    </row>
    <row r="109" spans="1:48">
      <c r="B109" s="53" t="s">
        <v>20</v>
      </c>
      <c r="C109" s="40">
        <f>C106/D108</f>
        <v>0.53356682232599506</v>
      </c>
      <c r="D109" s="8"/>
      <c r="E109" s="38"/>
      <c r="H109" s="56" t="s">
        <v>16</v>
      </c>
      <c r="I109" s="39">
        <f>H102*$A$10</f>
        <v>0.64</v>
      </c>
      <c r="J109" s="8"/>
      <c r="K109" s="40">
        <f>SUM(I110:K110)/3</f>
        <v>0.70788575828955824</v>
      </c>
      <c r="N109" s="56" t="s">
        <v>16</v>
      </c>
      <c r="O109" s="39">
        <f>N102*$A$10</f>
        <v>0.9</v>
      </c>
      <c r="P109" s="8"/>
      <c r="Q109" s="40">
        <f>SUM(O110:Q110)/3</f>
        <v>1.0178525693333242</v>
      </c>
      <c r="U109" s="29">
        <v>9.1999999999999998E-2</v>
      </c>
      <c r="V109" s="29"/>
      <c r="W109" s="35">
        <v>3.5</v>
      </c>
      <c r="X109" s="34" t="s">
        <v>98</v>
      </c>
      <c r="AA109" s="29">
        <v>4.8000000000000001E-2</v>
      </c>
      <c r="AB109" s="29"/>
      <c r="AC109" s="35">
        <v>4</v>
      </c>
      <c r="AD109" s="34" t="s">
        <v>100</v>
      </c>
      <c r="AG109" s="29">
        <v>7.4099999999999999E-2</v>
      </c>
      <c r="AH109" s="29"/>
      <c r="AI109" s="35">
        <v>4</v>
      </c>
      <c r="AJ109" s="34" t="s">
        <v>101</v>
      </c>
      <c r="AM109" s="66">
        <v>1.66E-2</v>
      </c>
      <c r="AN109" s="66">
        <v>3.3599999999999998E-2</v>
      </c>
      <c r="AO109" s="66">
        <v>6.0699999999999997E-2</v>
      </c>
    </row>
    <row r="110" spans="1:48">
      <c r="B110" s="56" t="s">
        <v>16</v>
      </c>
      <c r="C110" s="39">
        <f xml:space="preserve"> B103 * $A$10</f>
        <v>1</v>
      </c>
      <c r="D110" s="8"/>
      <c r="E110" s="40">
        <f>SUM(C111:E111)/3</f>
        <v>0.98326398959316563</v>
      </c>
      <c r="H110" s="52"/>
      <c r="I110" s="39">
        <f>I107*I109</f>
        <v>0.67280734249800012</v>
      </c>
      <c r="J110" s="39">
        <f>I110*I107</f>
        <v>0.70729643768628314</v>
      </c>
      <c r="K110" s="40">
        <f>J110*I107</f>
        <v>0.74355349468439136</v>
      </c>
      <c r="N110" s="52"/>
      <c r="O110" s="39">
        <f>O107*O109</f>
        <v>0.95652260631380814</v>
      </c>
      <c r="P110" s="39">
        <f>O110*O107</f>
        <v>1.0165949959881782</v>
      </c>
      <c r="Q110" s="40">
        <f>P110*O107</f>
        <v>1.0804401056979862</v>
      </c>
      <c r="U110" s="54" t="s">
        <v>12</v>
      </c>
      <c r="V110" s="50">
        <v>21086</v>
      </c>
      <c r="W110" s="55" t="s">
        <v>18</v>
      </c>
      <c r="X110" s="51">
        <v>2575</v>
      </c>
      <c r="AA110" s="54" t="s">
        <v>12</v>
      </c>
      <c r="AB110" s="50">
        <v>210652</v>
      </c>
      <c r="AC110" s="55" t="s">
        <v>18</v>
      </c>
      <c r="AD110" s="60">
        <v>800</v>
      </c>
      <c r="AG110" s="54" t="s">
        <v>12</v>
      </c>
      <c r="AH110" s="50">
        <v>6923</v>
      </c>
      <c r="AI110" s="55" t="s">
        <v>18</v>
      </c>
      <c r="AJ110" s="73">
        <v>8.0300000000000007E-3</v>
      </c>
      <c r="AM110" s="66">
        <v>1.14E-2</v>
      </c>
      <c r="AN110" s="66">
        <v>2.6800000000000001E-2</v>
      </c>
      <c r="AO110" s="66">
        <v>4.07E-2</v>
      </c>
      <c r="AS110" s="29">
        <v>4.53E-2</v>
      </c>
      <c r="AT110" s="29"/>
      <c r="AU110" s="35">
        <v>4</v>
      </c>
      <c r="AV110" s="34" t="s">
        <v>126</v>
      </c>
    </row>
    <row r="111" spans="1:48">
      <c r="B111" s="52"/>
      <c r="C111" s="39">
        <f>C108*C110</f>
        <v>0.99158488467080941</v>
      </c>
      <c r="D111" s="39">
        <f>C111*C108</f>
        <v>0.98324058350762245</v>
      </c>
      <c r="E111" s="40">
        <f>D111*C108</f>
        <v>0.97496650060106516</v>
      </c>
      <c r="H111" s="52"/>
      <c r="I111" s="8"/>
      <c r="J111" s="8"/>
      <c r="K111" s="38"/>
      <c r="N111" s="52"/>
      <c r="O111" s="8"/>
      <c r="P111" s="8"/>
      <c r="Q111" s="38"/>
      <c r="U111" s="52" t="s">
        <v>13</v>
      </c>
      <c r="V111" s="41">
        <f>X110*X111+X112*X113</f>
        <v>55842.75</v>
      </c>
      <c r="W111" s="56" t="s">
        <v>17</v>
      </c>
      <c r="X111" s="38">
        <v>18.09</v>
      </c>
      <c r="AA111" s="52" t="s">
        <v>13</v>
      </c>
      <c r="AB111" s="41">
        <f>AD110*AD111</f>
        <v>82424</v>
      </c>
      <c r="AC111" s="56" t="s">
        <v>17</v>
      </c>
      <c r="AD111" s="38">
        <v>103.03</v>
      </c>
      <c r="AG111" s="52" t="s">
        <v>13</v>
      </c>
      <c r="AH111" s="41">
        <f>AJ110*AJ111</f>
        <v>10904.338500000002</v>
      </c>
      <c r="AI111" s="56" t="s">
        <v>17</v>
      </c>
      <c r="AJ111" s="38">
        <v>1357950</v>
      </c>
      <c r="AM111" s="29"/>
      <c r="AN111" s="29"/>
      <c r="AO111" s="29"/>
      <c r="AS111" s="54" t="s">
        <v>12</v>
      </c>
      <c r="AT111" s="50">
        <v>152028</v>
      </c>
      <c r="AU111" s="55" t="s">
        <v>18</v>
      </c>
      <c r="AV111" s="60">
        <v>1485</v>
      </c>
    </row>
    <row r="112" spans="1:48">
      <c r="B112" s="52"/>
      <c r="C112" s="8"/>
      <c r="D112" s="8"/>
      <c r="E112" s="38"/>
      <c r="H112" s="52"/>
      <c r="I112" s="45" t="s">
        <v>1</v>
      </c>
      <c r="J112" s="45" t="s">
        <v>6</v>
      </c>
      <c r="K112" s="46" t="s">
        <v>15</v>
      </c>
      <c r="N112" s="52"/>
      <c r="O112" s="45" t="s">
        <v>1</v>
      </c>
      <c r="P112" s="45" t="s">
        <v>6</v>
      </c>
      <c r="Q112" s="46" t="s">
        <v>15</v>
      </c>
      <c r="U112" s="52" t="s">
        <v>2</v>
      </c>
      <c r="V112" s="41">
        <f>V111+V110</f>
        <v>76928.75</v>
      </c>
      <c r="W112" s="8"/>
      <c r="X112" s="38">
        <v>1575</v>
      </c>
      <c r="AA112" s="52" t="s">
        <v>2</v>
      </c>
      <c r="AB112" s="41">
        <f>AB111+AB110</f>
        <v>293076</v>
      </c>
      <c r="AC112" s="8"/>
      <c r="AD112" s="38"/>
      <c r="AE112" s="29"/>
      <c r="AG112" s="52" t="s">
        <v>2</v>
      </c>
      <c r="AH112" s="41">
        <f>AH111+AH110</f>
        <v>17827.338500000002</v>
      </c>
      <c r="AI112" s="8"/>
      <c r="AJ112" s="38"/>
      <c r="AM112" s="66">
        <f>AM109/AM110</f>
        <v>1.4561403508771928</v>
      </c>
      <c r="AN112" s="66">
        <f t="shared" ref="AN112:AO112" si="8">AN109/AN110</f>
        <v>1.2537313432835819</v>
      </c>
      <c r="AO112" s="66">
        <f t="shared" si="8"/>
        <v>1.4914004914004912</v>
      </c>
      <c r="AS112" s="52" t="s">
        <v>13</v>
      </c>
      <c r="AT112" s="41">
        <f>AV111*AV112+AV113*AV114</f>
        <v>172230.30000000002</v>
      </c>
      <c r="AU112" s="56" t="s">
        <v>17</v>
      </c>
      <c r="AV112" s="38">
        <v>115.98</v>
      </c>
    </row>
    <row r="113" spans="2:57">
      <c r="B113" s="52"/>
      <c r="C113" s="45" t="s">
        <v>1</v>
      </c>
      <c r="D113" s="45" t="s">
        <v>6</v>
      </c>
      <c r="E113" s="46" t="s">
        <v>15</v>
      </c>
      <c r="H113" s="57" t="s">
        <v>4</v>
      </c>
      <c r="I113" s="47">
        <f>I109/I108</f>
        <v>2.1526991682503174</v>
      </c>
      <c r="J113" s="49">
        <f>K109/I108</f>
        <v>2.3810391923221519</v>
      </c>
      <c r="K113" s="48">
        <f>K110/I108</f>
        <v>2.501010921182353</v>
      </c>
      <c r="N113" s="57" t="s">
        <v>4</v>
      </c>
      <c r="O113" s="47">
        <f>O109/O108</f>
        <v>0.99077799962954483</v>
      </c>
      <c r="P113" s="49">
        <f>Q109/O108</f>
        <v>1.120517702846515</v>
      </c>
      <c r="Q113" s="48">
        <f>Q110/O108</f>
        <v>1.189418096269983</v>
      </c>
      <c r="U113" s="58"/>
      <c r="V113" s="8"/>
      <c r="W113" s="8"/>
      <c r="X113" s="38">
        <v>5.88</v>
      </c>
      <c r="AA113" s="58"/>
      <c r="AB113" s="8"/>
      <c r="AC113" s="8"/>
      <c r="AD113" s="38"/>
      <c r="AG113" s="58"/>
      <c r="AH113" s="8"/>
      <c r="AI113" s="8"/>
      <c r="AJ113" s="38"/>
      <c r="AM113" t="s">
        <v>92</v>
      </c>
      <c r="AN113" t="s">
        <v>93</v>
      </c>
      <c r="AS113" s="52" t="s">
        <v>2</v>
      </c>
      <c r="AT113" s="41">
        <f>AT112+AT111</f>
        <v>324258.30000000005</v>
      </c>
      <c r="AU113" s="8"/>
      <c r="AV113" s="38"/>
    </row>
    <row r="114" spans="2:57">
      <c r="B114" s="57" t="s">
        <v>4</v>
      </c>
      <c r="C114" s="47">
        <f>C110/C109</f>
        <v>1.8741794994686285</v>
      </c>
      <c r="D114" s="49">
        <f>E110/C109</f>
        <v>1.8428132118612457</v>
      </c>
      <c r="E114" s="48">
        <f>E111/C109</f>
        <v>1.8272622280951845</v>
      </c>
      <c r="H114" t="s">
        <v>36</v>
      </c>
      <c r="N114" s="29" t="s">
        <v>87</v>
      </c>
      <c r="O114" s="8">
        <v>38.65</v>
      </c>
      <c r="P114" s="70">
        <f>O114*(Q104)</f>
        <v>923.34849999999994</v>
      </c>
      <c r="Q114" s="69"/>
      <c r="U114" s="53" t="s">
        <v>19</v>
      </c>
      <c r="V114" s="39">
        <f>(W114/X114)^(1/W109)/$A$4</f>
        <v>1.1457784569899305</v>
      </c>
      <c r="W114" s="41">
        <v>151331</v>
      </c>
      <c r="X114" s="42">
        <v>68862</v>
      </c>
      <c r="AA114" s="53" t="s">
        <v>19</v>
      </c>
      <c r="AB114" s="39">
        <f>((AC114+AC121)/AD114)^(1/AC109)/$A$4</f>
        <v>1.0948994223250481</v>
      </c>
      <c r="AC114" s="41">
        <v>548721</v>
      </c>
      <c r="AD114" s="42">
        <v>282405</v>
      </c>
      <c r="AG114" s="53" t="s">
        <v>19</v>
      </c>
      <c r="AH114" s="39">
        <f>((AI114+AI121)/AJ114)^(1/AI109)/$A$4</f>
        <v>1.1285933277305882</v>
      </c>
      <c r="AI114" s="41">
        <v>23766</v>
      </c>
      <c r="AJ114" s="42">
        <v>12240</v>
      </c>
      <c r="AM114" t="s">
        <v>71</v>
      </c>
      <c r="AN114" s="59">
        <v>0.8</v>
      </c>
      <c r="AO114" t="s">
        <v>72</v>
      </c>
      <c r="AS114" s="58"/>
      <c r="AT114" s="8"/>
      <c r="AU114" s="8"/>
      <c r="AV114" s="38"/>
    </row>
    <row r="115" spans="2:57">
      <c r="U115" s="53" t="s">
        <v>20</v>
      </c>
      <c r="V115" s="40">
        <f>V112/W114</f>
        <v>0.50834759566777465</v>
      </c>
      <c r="W115" s="8"/>
      <c r="X115" s="38"/>
      <c r="AA115" s="53" t="s">
        <v>20</v>
      </c>
      <c r="AB115" s="40">
        <f>AB112/AC114</f>
        <v>0.53410749725270223</v>
      </c>
      <c r="AC115" s="8"/>
      <c r="AD115" s="38"/>
      <c r="AG115" s="53" t="s">
        <v>20</v>
      </c>
      <c r="AH115" s="40">
        <f>AH112/AI114</f>
        <v>0.75011943532777925</v>
      </c>
      <c r="AI115" s="8"/>
      <c r="AJ115" s="38"/>
      <c r="AM115" s="66"/>
      <c r="AN115" s="66"/>
      <c r="AO115" s="29"/>
      <c r="AP115" s="66"/>
      <c r="AS115" s="53" t="s">
        <v>19</v>
      </c>
      <c r="AT115" s="39">
        <f>((AU115+AU122)/AV115)^(1/AU110)/$A$4</f>
        <v>1.056692474014207</v>
      </c>
      <c r="AU115" s="41">
        <v>495398</v>
      </c>
      <c r="AV115" s="42">
        <v>278461</v>
      </c>
    </row>
    <row r="116" spans="2:57">
      <c r="H116" s="66">
        <v>6.0999999999999999E-2</v>
      </c>
      <c r="I116" s="66">
        <v>0.1255</v>
      </c>
      <c r="J116" s="66">
        <v>0.13730000000000001</v>
      </c>
      <c r="K116" s="66">
        <v>0.16539999999999999</v>
      </c>
      <c r="N116" s="29">
        <v>2020</v>
      </c>
      <c r="O116" s="29">
        <v>2021</v>
      </c>
      <c r="P116" s="29">
        <v>2022</v>
      </c>
      <c r="Q116">
        <v>2023</v>
      </c>
      <c r="R116">
        <v>2024</v>
      </c>
      <c r="U116" s="56" t="s">
        <v>16</v>
      </c>
      <c r="V116" s="39">
        <f xml:space="preserve"> U109 * $A$10</f>
        <v>0.36799999999999999</v>
      </c>
      <c r="W116" s="8"/>
      <c r="X116" s="40">
        <f>SUM(V117:X117)/3</f>
        <v>0.48610029773076047</v>
      </c>
      <c r="AA116" s="56" t="s">
        <v>16</v>
      </c>
      <c r="AB116" s="39">
        <f>AA109*$A$10</f>
        <v>0.192</v>
      </c>
      <c r="AC116" s="8"/>
      <c r="AD116" s="40">
        <f>SUM(AB117:AD117)/3</f>
        <v>0.23080158656782435</v>
      </c>
      <c r="AG116" s="56" t="s">
        <v>16</v>
      </c>
      <c r="AH116" s="39">
        <f>AG109*$A$10</f>
        <v>0.2964</v>
      </c>
      <c r="AI116" s="8"/>
      <c r="AJ116" s="40">
        <f>SUM(AH117:AJ117)/3</f>
        <v>0.3793753416053634</v>
      </c>
      <c r="AM116" s="66"/>
      <c r="AN116" s="66"/>
      <c r="AP116" s="66"/>
      <c r="AS116" s="53" t="s">
        <v>20</v>
      </c>
      <c r="AT116" s="40">
        <f>AT113/AU115</f>
        <v>0.65454099532093402</v>
      </c>
      <c r="AU116" s="8"/>
      <c r="AV116" s="38"/>
    </row>
    <row r="117" spans="2:57">
      <c r="H117" s="66">
        <v>0.13619999999999999</v>
      </c>
      <c r="I117" s="66">
        <v>0.22720000000000001</v>
      </c>
      <c r="J117" s="66">
        <v>0.28249999999999997</v>
      </c>
      <c r="K117" s="66">
        <v>0.3775</v>
      </c>
      <c r="N117">
        <v>24.14</v>
      </c>
      <c r="O117" s="29">
        <v>20.260000000000002</v>
      </c>
      <c r="P117" s="29">
        <v>15.05</v>
      </c>
      <c r="Q117" s="29">
        <v>25.15</v>
      </c>
      <c r="R117" s="29">
        <v>30.36</v>
      </c>
      <c r="U117" s="52"/>
      <c r="V117" s="39">
        <f>V114*V116</f>
        <v>0.42164647217229445</v>
      </c>
      <c r="W117" s="39">
        <f>V117*V114</f>
        <v>0.4831134442808192</v>
      </c>
      <c r="X117" s="40">
        <f>W117*V114</f>
        <v>0.5535409767391678</v>
      </c>
      <c r="AA117" s="52"/>
      <c r="AB117" s="39">
        <f>AB114*AB116</f>
        <v>0.21022068908640923</v>
      </c>
      <c r="AC117" s="39">
        <f>AB117*AB114</f>
        <v>0.23017051104148301</v>
      </c>
      <c r="AD117" s="40">
        <f>AC117*AB114</f>
        <v>0.25201355957558086</v>
      </c>
      <c r="AG117" s="52"/>
      <c r="AH117" s="39">
        <f>AH114*AH116</f>
        <v>0.33451506233934636</v>
      </c>
      <c r="AI117" s="39">
        <f>AH117*AH114</f>
        <v>0.37753146738156806</v>
      </c>
      <c r="AJ117" s="40">
        <f>AI117*AH114</f>
        <v>0.4260794950951759</v>
      </c>
      <c r="AS117" s="56" t="s">
        <v>16</v>
      </c>
      <c r="AT117" s="39">
        <f>AS110*$A$10</f>
        <v>0.1812</v>
      </c>
      <c r="AU117" s="8"/>
      <c r="AV117" s="40">
        <f>SUM(AT118:AV118)/3</f>
        <v>0.20253286941358259</v>
      </c>
    </row>
    <row r="118" spans="2:57">
      <c r="U118" s="52"/>
      <c r="V118" s="8"/>
      <c r="W118" s="8"/>
      <c r="X118" s="38"/>
      <c r="AA118" s="52"/>
      <c r="AB118" s="8"/>
      <c r="AC118" s="8"/>
      <c r="AD118" s="38"/>
      <c r="AG118" s="52"/>
      <c r="AH118" s="8"/>
      <c r="AI118" s="8"/>
      <c r="AJ118" s="38"/>
      <c r="AQ118" s="29"/>
      <c r="AR118" s="29"/>
      <c r="AS118" s="52"/>
      <c r="AT118" s="39">
        <f>AT115*AT117</f>
        <v>0.19147267629137429</v>
      </c>
      <c r="AU118" s="39">
        <f>AT118*AT115</f>
        <v>0.20232773601645368</v>
      </c>
      <c r="AV118" s="40">
        <f>AU118*AT115</f>
        <v>0.21379819593291979</v>
      </c>
    </row>
    <row r="119" spans="2:57">
      <c r="H119" s="66">
        <f>H116/H117</f>
        <v>0.44787077826725408</v>
      </c>
      <c r="I119" s="66">
        <f>I116/I117</f>
        <v>0.55237676056338025</v>
      </c>
      <c r="J119" s="66">
        <f>J116/J117</f>
        <v>0.48601769911504433</v>
      </c>
      <c r="K119" s="66">
        <f>K116/K117</f>
        <v>0.43814569536423836</v>
      </c>
      <c r="N119">
        <v>10.92</v>
      </c>
      <c r="O119">
        <v>11.08</v>
      </c>
      <c r="P119">
        <v>11</v>
      </c>
      <c r="Q119">
        <v>15.85</v>
      </c>
      <c r="S119" s="29"/>
      <c r="U119" s="52"/>
      <c r="V119" s="45" t="s">
        <v>1</v>
      </c>
      <c r="W119" s="45" t="s">
        <v>6</v>
      </c>
      <c r="X119" s="46" t="s">
        <v>15</v>
      </c>
      <c r="AA119" s="52"/>
      <c r="AB119" s="45" t="s">
        <v>1</v>
      </c>
      <c r="AC119" s="45" t="s">
        <v>6</v>
      </c>
      <c r="AD119" s="46" t="s">
        <v>15</v>
      </c>
      <c r="AG119" s="52"/>
      <c r="AH119" s="45" t="s">
        <v>1</v>
      </c>
      <c r="AI119" s="45" t="s">
        <v>6</v>
      </c>
      <c r="AJ119" s="46" t="s">
        <v>15</v>
      </c>
      <c r="AQ119" s="29"/>
      <c r="AR119" s="29"/>
      <c r="AS119" s="52"/>
      <c r="AT119" s="8"/>
      <c r="AU119" s="8"/>
      <c r="AV119" s="38"/>
    </row>
    <row r="120" spans="2:57">
      <c r="U120" s="57" t="s">
        <v>4</v>
      </c>
      <c r="V120" s="47">
        <f>V116/V115</f>
        <v>0.72391411533399408</v>
      </c>
      <c r="W120" s="49">
        <f>X116/V115</f>
        <v>0.95623605161781133</v>
      </c>
      <c r="X120" s="48">
        <f>X117/V115</f>
        <v>1.0889025176012219</v>
      </c>
      <c r="AA120" s="57" t="s">
        <v>4</v>
      </c>
      <c r="AB120" s="47">
        <f>AB116/AB115</f>
        <v>0.3594781967817221</v>
      </c>
      <c r="AC120" s="49">
        <f>AD116/AB115</f>
        <v>0.43212571955084395</v>
      </c>
      <c r="AD120" s="48">
        <f>AD117/AB115</f>
        <v>0.47184052062902554</v>
      </c>
      <c r="AG120" s="57" t="s">
        <v>4</v>
      </c>
      <c r="AH120" s="47">
        <f>AH116/AH115</f>
        <v>0.39513707556514954</v>
      </c>
      <c r="AI120" s="49">
        <f>AJ116/AH115</f>
        <v>0.50575324906704755</v>
      </c>
      <c r="AJ120" s="48">
        <f>AJ117/AH115</f>
        <v>0.56801553863084775</v>
      </c>
      <c r="AQ120" s="29"/>
      <c r="AR120" s="29"/>
      <c r="AS120" s="52"/>
      <c r="AT120" s="45" t="s">
        <v>1</v>
      </c>
      <c r="AU120" s="45" t="s">
        <v>6</v>
      </c>
      <c r="AV120" s="46" t="s">
        <v>15</v>
      </c>
      <c r="BE120">
        <f>100/21</f>
        <v>4.7619047619047619</v>
      </c>
    </row>
    <row r="121" spans="2:57">
      <c r="H121" s="66">
        <v>0.1061</v>
      </c>
      <c r="I121" s="66">
        <v>0.1167</v>
      </c>
      <c r="J121" s="66">
        <v>0.14180000000000001</v>
      </c>
      <c r="N121">
        <f>N119/N117</f>
        <v>0.45236122618061309</v>
      </c>
      <c r="O121" s="29">
        <f t="shared" ref="O121:Q121" si="9">O119/O117</f>
        <v>0.54689042448173741</v>
      </c>
      <c r="P121" s="29">
        <f t="shared" si="9"/>
        <v>0.73089700996677742</v>
      </c>
      <c r="Q121" s="29">
        <f t="shared" si="9"/>
        <v>0.63021868787276347</v>
      </c>
      <c r="AA121" s="29" t="s">
        <v>87</v>
      </c>
      <c r="AB121" s="8">
        <v>295</v>
      </c>
      <c r="AC121" s="70">
        <f>AB121*(AD111)</f>
        <v>30393.85</v>
      </c>
      <c r="AD121" s="69"/>
      <c r="AG121" s="29" t="s">
        <v>87</v>
      </c>
      <c r="AH121" s="74">
        <v>3.3647999999999998E-3</v>
      </c>
      <c r="AI121" s="70">
        <f>AH121*(AJ111)</f>
        <v>4569.2301600000001</v>
      </c>
      <c r="AJ121" s="69"/>
      <c r="AM121" s="29"/>
      <c r="AN121" s="29"/>
      <c r="AR121" s="29"/>
      <c r="AS121" s="57" t="s">
        <v>4</v>
      </c>
      <c r="AT121" s="47">
        <f>AT117/AT116</f>
        <v>0.27683521932977501</v>
      </c>
      <c r="AU121" s="49">
        <f>AV117/AT116</f>
        <v>0.30942732519645594</v>
      </c>
      <c r="AV121" s="48">
        <f>AV118/AT116</f>
        <v>0.326638357965784</v>
      </c>
    </row>
    <row r="122" spans="2:57">
      <c r="H122">
        <f>LINEST(H121:J121)</f>
        <v>1.7850000000000001E-2</v>
      </c>
      <c r="I122" s="29"/>
      <c r="J122" s="29"/>
      <c r="AG122" t="s">
        <v>102</v>
      </c>
      <c r="AM122" s="29"/>
      <c r="AN122" s="29"/>
      <c r="AP122" s="29"/>
      <c r="AS122" s="29" t="s">
        <v>112</v>
      </c>
      <c r="AT122" s="29">
        <v>0</v>
      </c>
      <c r="AU122" s="29">
        <f>AV112*AT122</f>
        <v>0</v>
      </c>
      <c r="AV122" s="29"/>
    </row>
    <row r="123" spans="2:57">
      <c r="AG123" s="29">
        <v>4.0000000000000002E-4</v>
      </c>
      <c r="AH123" s="29">
        <v>1.1999999999999999E-3</v>
      </c>
      <c r="AI123" s="29">
        <v>1.2999999999999999E-3</v>
      </c>
      <c r="AM123" s="29"/>
      <c r="AN123" s="29"/>
      <c r="AP123" s="29"/>
    </row>
    <row r="124" spans="2:57">
      <c r="F124" s="8"/>
      <c r="G124" s="8"/>
      <c r="H124" s="8"/>
      <c r="I124" s="8"/>
      <c r="J124" s="8"/>
      <c r="U124" s="29">
        <v>0.09</v>
      </c>
      <c r="V124" s="29"/>
      <c r="W124" s="35">
        <v>4</v>
      </c>
      <c r="X124" s="34" t="s">
        <v>111</v>
      </c>
      <c r="AA124" s="29">
        <v>0.13</v>
      </c>
      <c r="AB124" s="29"/>
      <c r="AC124" s="35">
        <v>4</v>
      </c>
      <c r="AD124" s="34" t="s">
        <v>113</v>
      </c>
      <c r="AG124" s="62" t="s">
        <v>103</v>
      </c>
      <c r="AH124" s="29"/>
      <c r="AI124" s="29"/>
      <c r="AM124" s="29"/>
      <c r="AN124" s="29"/>
      <c r="AP124" s="29"/>
    </row>
    <row r="125" spans="2:57">
      <c r="B125" s="29">
        <v>0.25</v>
      </c>
      <c r="C125" s="29"/>
      <c r="D125" s="35">
        <v>4</v>
      </c>
      <c r="E125" s="34" t="s">
        <v>114</v>
      </c>
      <c r="H125" s="29">
        <v>0.08</v>
      </c>
      <c r="I125" s="29"/>
      <c r="J125" s="35">
        <v>4</v>
      </c>
      <c r="K125" s="34" t="s">
        <v>115</v>
      </c>
      <c r="U125" s="54" t="s">
        <v>12</v>
      </c>
      <c r="V125" s="50">
        <v>21507</v>
      </c>
      <c r="W125" s="55" t="s">
        <v>18</v>
      </c>
      <c r="X125" s="60">
        <v>0.40260000000000001</v>
      </c>
      <c r="AA125" s="54" t="s">
        <v>12</v>
      </c>
      <c r="AB125" s="50">
        <v>22571</v>
      </c>
      <c r="AC125" s="55" t="s">
        <v>18</v>
      </c>
      <c r="AD125" s="60">
        <v>7.145E-2</v>
      </c>
      <c r="AG125">
        <v>4.8999999999999998E-4</v>
      </c>
      <c r="AH125">
        <v>4.4000000000000002E-4</v>
      </c>
      <c r="AI125">
        <v>4.5619999999999998E-4</v>
      </c>
      <c r="AM125" s="29"/>
      <c r="AN125" s="29"/>
      <c r="AP125" s="29"/>
    </row>
    <row r="126" spans="2:57">
      <c r="B126" s="54" t="s">
        <v>12</v>
      </c>
      <c r="C126" s="50">
        <v>-1004</v>
      </c>
      <c r="D126" s="55" t="s">
        <v>18</v>
      </c>
      <c r="E126" s="60">
        <v>3.98</v>
      </c>
      <c r="H126" s="54" t="s">
        <v>12</v>
      </c>
      <c r="I126" s="50">
        <v>-614.16</v>
      </c>
      <c r="J126" s="55" t="s">
        <v>18</v>
      </c>
      <c r="K126" s="60">
        <v>180.5</v>
      </c>
      <c r="U126" s="52" t="s">
        <v>13</v>
      </c>
      <c r="V126" s="41">
        <f>X125*X126</f>
        <v>35163.486600000004</v>
      </c>
      <c r="W126" s="56" t="s">
        <v>17</v>
      </c>
      <c r="X126" s="38">
        <v>87341</v>
      </c>
      <c r="AA126" s="52" t="s">
        <v>13</v>
      </c>
      <c r="AB126" s="41">
        <f>AD125*AD126</f>
        <v>10834.749449999999</v>
      </c>
      <c r="AC126" s="56" t="s">
        <v>17</v>
      </c>
      <c r="AD126" s="38">
        <v>151641</v>
      </c>
      <c r="AH126">
        <v>1.2899999999999999E-3</v>
      </c>
      <c r="AI126">
        <v>6.8860000000000004E-4</v>
      </c>
      <c r="AM126" s="29"/>
      <c r="AN126" s="29"/>
      <c r="AP126" s="29"/>
    </row>
    <row r="127" spans="2:57">
      <c r="B127" s="52" t="s">
        <v>13</v>
      </c>
      <c r="C127" s="41">
        <f>E126*E127+E128*E129</f>
        <v>4685.0814000000009</v>
      </c>
      <c r="D127" s="56" t="s">
        <v>17</v>
      </c>
      <c r="E127" s="38">
        <v>859.08</v>
      </c>
      <c r="H127" s="52" t="s">
        <v>13</v>
      </c>
      <c r="I127" s="41">
        <f>K126*K127</f>
        <v>1483.71</v>
      </c>
      <c r="J127" s="56" t="s">
        <v>17</v>
      </c>
      <c r="K127" s="38">
        <v>8.2200000000000006</v>
      </c>
      <c r="U127" s="52" t="s">
        <v>2</v>
      </c>
      <c r="V127" s="41">
        <f>V126+V125</f>
        <v>56670.486600000004</v>
      </c>
      <c r="W127" s="8"/>
      <c r="X127" s="38"/>
      <c r="AA127" s="52" t="s">
        <v>2</v>
      </c>
      <c r="AB127" s="41">
        <f>AB126+AB125</f>
        <v>33405.749450000003</v>
      </c>
      <c r="AC127" s="8"/>
      <c r="AD127" s="38"/>
      <c r="AG127">
        <f>AG125+AG126</f>
        <v>4.8999999999999998E-4</v>
      </c>
      <c r="AH127" s="29">
        <f t="shared" ref="AH127:AI127" si="10">AH125+AH126</f>
        <v>1.73E-3</v>
      </c>
      <c r="AI127" s="29">
        <f t="shared" si="10"/>
        <v>1.1448000000000001E-3</v>
      </c>
      <c r="AM127" s="29"/>
      <c r="AN127" s="29"/>
      <c r="AP127" s="29"/>
    </row>
    <row r="128" spans="2:57">
      <c r="B128" s="52" t="s">
        <v>2</v>
      </c>
      <c r="C128" s="41">
        <f>C127+C126</f>
        <v>3681.0814000000009</v>
      </c>
      <c r="D128" s="8"/>
      <c r="E128" s="38">
        <v>4.83</v>
      </c>
      <c r="H128" s="52" t="s">
        <v>2</v>
      </c>
      <c r="I128" s="41">
        <f>I127+I126</f>
        <v>869.55000000000007</v>
      </c>
      <c r="J128" s="8"/>
      <c r="K128" s="38"/>
      <c r="U128" s="58"/>
      <c r="V128" s="8"/>
      <c r="W128" s="8"/>
      <c r="X128" s="38"/>
      <c r="AA128" s="58"/>
      <c r="AB128" s="8"/>
      <c r="AC128" s="8"/>
      <c r="AD128" s="38"/>
      <c r="AG128" t="s">
        <v>104</v>
      </c>
      <c r="AM128" s="29"/>
      <c r="AN128" s="29"/>
      <c r="AP128" s="29"/>
    </row>
    <row r="129" spans="2:42">
      <c r="B129" s="58"/>
      <c r="C129" s="8"/>
      <c r="D129" s="8"/>
      <c r="E129" s="38">
        <v>262.10000000000002</v>
      </c>
      <c r="H129" s="58"/>
      <c r="I129" s="8"/>
      <c r="J129" s="8"/>
      <c r="K129" s="38"/>
      <c r="U129" s="53" t="s">
        <v>19</v>
      </c>
      <c r="V129" s="39">
        <f>((W129+W136)/X129)^(1/W124)/$A$4</f>
        <v>1.029298054452374</v>
      </c>
      <c r="W129" s="41">
        <v>137898</v>
      </c>
      <c r="X129" s="42">
        <v>93823</v>
      </c>
      <c r="AA129" s="53" t="s">
        <v>19</v>
      </c>
      <c r="AB129" s="39">
        <f>(AC129/AD129)^(1/AC124)/$A$4</f>
        <v>0.98593812615335941</v>
      </c>
      <c r="AC129" s="41">
        <v>55408</v>
      </c>
      <c r="AD129" s="42">
        <v>41094</v>
      </c>
      <c r="AG129">
        <f>AG127/AG123</f>
        <v>1.2249999999999999</v>
      </c>
      <c r="AH129" s="29">
        <f t="shared" ref="AH129:AI129" si="11">AH127/AH123</f>
        <v>1.4416666666666669</v>
      </c>
      <c r="AI129" s="29">
        <f t="shared" si="11"/>
        <v>0.88061538461538469</v>
      </c>
      <c r="AM129" s="29"/>
      <c r="AN129" s="29"/>
      <c r="AP129" s="29"/>
    </row>
    <row r="130" spans="2:42">
      <c r="B130" s="53" t="s">
        <v>19</v>
      </c>
      <c r="C130" s="39">
        <f>((D130+D137+D138)/E130)^(1/D125)/$A$4</f>
        <v>1.0481031726128156</v>
      </c>
      <c r="D130" s="41">
        <v>5652</v>
      </c>
      <c r="E130" s="42">
        <v>3752</v>
      </c>
      <c r="H130" s="53" t="s">
        <v>19</v>
      </c>
      <c r="I130" s="39">
        <f>(J130/K130)^(1/J125)/$A$4</f>
        <v>1.4468590516455251</v>
      </c>
      <c r="J130" s="41">
        <v>4560</v>
      </c>
      <c r="K130" s="42">
        <v>729.23</v>
      </c>
      <c r="U130" s="53" t="s">
        <v>20</v>
      </c>
      <c r="V130" s="40">
        <f>V127/W129</f>
        <v>0.41095945263890704</v>
      </c>
      <c r="W130" s="8"/>
      <c r="X130" s="38"/>
      <c r="AA130" s="53" t="s">
        <v>20</v>
      </c>
      <c r="AB130" s="40">
        <f>AB127/AC129</f>
        <v>0.60290480526277801</v>
      </c>
      <c r="AC130" s="8"/>
      <c r="AD130" s="38"/>
    </row>
    <row r="131" spans="2:42">
      <c r="B131" s="53" t="s">
        <v>20</v>
      </c>
      <c r="C131" s="40">
        <f>C128/D130</f>
        <v>0.65128828733191813</v>
      </c>
      <c r="D131" s="8"/>
      <c r="E131" s="38"/>
      <c r="H131" s="53" t="s">
        <v>20</v>
      </c>
      <c r="I131" s="40">
        <f>I128/J130</f>
        <v>0.19069078947368423</v>
      </c>
      <c r="J131" s="8"/>
      <c r="K131" s="38"/>
      <c r="U131" s="56" t="s">
        <v>16</v>
      </c>
      <c r="V131" s="39">
        <f>U124*$A$10</f>
        <v>0.36</v>
      </c>
      <c r="W131" s="8"/>
      <c r="X131" s="40">
        <f>SUM(V132:X132)/3</f>
        <v>0.38150963753275846</v>
      </c>
      <c r="AA131" s="56" t="s">
        <v>16</v>
      </c>
      <c r="AB131" s="39">
        <f>AA124*$A$10</f>
        <v>0.52</v>
      </c>
      <c r="AC131" s="8"/>
      <c r="AD131" s="40">
        <f>SUM(AB132:AD132)/3</f>
        <v>0.50551226640401437</v>
      </c>
      <c r="AG131" t="s">
        <v>105</v>
      </c>
    </row>
    <row r="132" spans="2:42">
      <c r="B132" s="56" t="s">
        <v>16</v>
      </c>
      <c r="C132" s="39">
        <f>B125*$A$10</f>
        <v>1</v>
      </c>
      <c r="D132" s="8"/>
      <c r="E132" s="40">
        <f>SUM(C133:E133)/3</f>
        <v>1.0993286677338618</v>
      </c>
      <c r="H132" s="56" t="s">
        <v>16</v>
      </c>
      <c r="I132" s="39">
        <f>H125*$A$10</f>
        <v>0.32</v>
      </c>
      <c r="J132" s="8"/>
      <c r="K132" s="40">
        <f>SUM(I133:K133)/3</f>
        <v>0.70070576207062596</v>
      </c>
      <c r="U132" s="52"/>
      <c r="V132" s="39">
        <f>V129*V131</f>
        <v>0.3705472996028546</v>
      </c>
      <c r="W132" s="39">
        <f>V132*V129</f>
        <v>0.38140361456379918</v>
      </c>
      <c r="X132" s="40">
        <f>W132*V129</f>
        <v>0.39257799843162161</v>
      </c>
      <c r="AA132" s="52"/>
      <c r="AB132" s="39">
        <f>AB129*AB131</f>
        <v>0.5126878255997469</v>
      </c>
      <c r="AC132" s="39">
        <f>AB132*AB129</f>
        <v>0.50547847407345481</v>
      </c>
      <c r="AD132" s="40">
        <f>AC132*AB129</f>
        <v>0.49837049953884149</v>
      </c>
    </row>
    <row r="133" spans="2:42">
      <c r="B133" s="52"/>
      <c r="C133" s="39">
        <f>C130*C132</f>
        <v>1.0481031726128156</v>
      </c>
      <c r="D133" s="39">
        <f>C133*C130</f>
        <v>1.0985202604410496</v>
      </c>
      <c r="E133" s="40">
        <f>D133*C130</f>
        <v>1.1513625701477206</v>
      </c>
      <c r="H133" s="52"/>
      <c r="I133" s="39">
        <f>I130*I132</f>
        <v>0.46299489652656806</v>
      </c>
      <c r="J133" s="39">
        <f>I133*I130</f>
        <v>0.66988835690514825</v>
      </c>
      <c r="K133" s="40">
        <f>J133*I130</f>
        <v>0.96923403278016185</v>
      </c>
      <c r="U133" s="52"/>
      <c r="V133" s="8"/>
      <c r="W133" s="8"/>
      <c r="X133" s="38"/>
      <c r="AA133" s="52"/>
      <c r="AB133" s="8"/>
      <c r="AC133" s="8"/>
      <c r="AD133" s="38"/>
    </row>
    <row r="134" spans="2:42">
      <c r="B134" s="52"/>
      <c r="C134" s="8"/>
      <c r="D134" s="8"/>
      <c r="E134" s="38"/>
      <c r="H134" s="52"/>
      <c r="I134" s="8"/>
      <c r="J134" s="8"/>
      <c r="K134" s="38"/>
      <c r="U134" s="52"/>
      <c r="V134" s="45" t="s">
        <v>1</v>
      </c>
      <c r="W134" s="45" t="s">
        <v>6</v>
      </c>
      <c r="X134" s="46" t="s">
        <v>15</v>
      </c>
      <c r="AA134" s="52"/>
      <c r="AB134" s="45" t="s">
        <v>1</v>
      </c>
      <c r="AC134" s="45" t="s">
        <v>6</v>
      </c>
      <c r="AD134" s="46" t="s">
        <v>15</v>
      </c>
    </row>
    <row r="135" spans="2:42">
      <c r="B135" s="52"/>
      <c r="C135" s="45" t="s">
        <v>1</v>
      </c>
      <c r="D135" s="45" t="s">
        <v>6</v>
      </c>
      <c r="E135" s="46" t="s">
        <v>15</v>
      </c>
      <c r="H135" s="52"/>
      <c r="I135" s="45" t="s">
        <v>1</v>
      </c>
      <c r="J135" s="45" t="s">
        <v>6</v>
      </c>
      <c r="K135" s="46" t="s">
        <v>15</v>
      </c>
      <c r="U135" s="57" t="s">
        <v>4</v>
      </c>
      <c r="V135" s="47">
        <f>V131/V130</f>
        <v>0.87599883075646634</v>
      </c>
      <c r="W135" s="49">
        <f>X131/V130</f>
        <v>0.9283388788917214</v>
      </c>
      <c r="X135" s="48">
        <f>X132/V130</f>
        <v>0.95527185446337337</v>
      </c>
      <c r="AA135" s="57" t="s">
        <v>4</v>
      </c>
      <c r="AB135" s="47">
        <f>AB131/AB130</f>
        <v>0.86249105241972046</v>
      </c>
      <c r="AC135" s="49">
        <f>AD131/AB130</f>
        <v>0.83846116665745463</v>
      </c>
      <c r="AD135" s="48">
        <f>AD132/AB130</f>
        <v>0.82661557046576384</v>
      </c>
    </row>
    <row r="136" spans="2:42">
      <c r="B136" s="57" t="s">
        <v>4</v>
      </c>
      <c r="C136" s="47">
        <f>C132/C131</f>
        <v>1.5354183691781438</v>
      </c>
      <c r="D136" s="49">
        <f>E132/C131</f>
        <v>1.6879294302027075</v>
      </c>
      <c r="E136" s="48">
        <f>E133/C131</f>
        <v>1.7678232397889693</v>
      </c>
      <c r="H136" s="57" t="s">
        <v>4</v>
      </c>
      <c r="I136" s="47">
        <f>I132/I131</f>
        <v>1.6781093669139209</v>
      </c>
      <c r="J136" s="49">
        <f>K132/I131</f>
        <v>3.674565321191483</v>
      </c>
      <c r="K136" s="48">
        <f>K133/I131</f>
        <v>5.082752216062949</v>
      </c>
      <c r="U136" s="29" t="s">
        <v>112</v>
      </c>
      <c r="V136" s="29">
        <v>0.14163999999999999</v>
      </c>
      <c r="W136" s="32">
        <f>X126*V136</f>
        <v>12370.979239999999</v>
      </c>
      <c r="X136" s="29"/>
      <c r="AA136" t="s">
        <v>112</v>
      </c>
      <c r="AB136" t="s">
        <v>0</v>
      </c>
    </row>
    <row r="137" spans="2:42">
      <c r="B137" s="29" t="s">
        <v>112</v>
      </c>
      <c r="C137" s="29">
        <v>0.62909300000000001</v>
      </c>
      <c r="D137" s="32">
        <f>E127*C137</f>
        <v>540.44121444000007</v>
      </c>
      <c r="E137" s="29"/>
    </row>
    <row r="138" spans="2:42">
      <c r="C138">
        <v>0.31217299999999998</v>
      </c>
      <c r="D138">
        <f>C138*E127</f>
        <v>268.18158083999998</v>
      </c>
    </row>
    <row r="139" spans="2:42">
      <c r="U139" s="29">
        <v>2.7E-2</v>
      </c>
      <c r="V139" s="29"/>
      <c r="W139" s="35">
        <v>4</v>
      </c>
      <c r="X139" s="34" t="s">
        <v>119</v>
      </c>
      <c r="AA139" s="29">
        <v>0.18</v>
      </c>
      <c r="AB139" s="29"/>
      <c r="AC139" s="35">
        <v>3.5</v>
      </c>
      <c r="AD139" s="34" t="s">
        <v>53</v>
      </c>
      <c r="AG139" s="29">
        <v>0.35</v>
      </c>
      <c r="AH139" s="29"/>
      <c r="AI139" s="35">
        <v>4</v>
      </c>
      <c r="AJ139" s="34" t="s">
        <v>120</v>
      </c>
    </row>
    <row r="140" spans="2:42">
      <c r="U140" s="54" t="s">
        <v>12</v>
      </c>
      <c r="V140" s="50">
        <v>4760</v>
      </c>
      <c r="W140" s="55" t="s">
        <v>18</v>
      </c>
      <c r="X140" s="60">
        <v>12.81</v>
      </c>
      <c r="AA140" s="54" t="s">
        <v>12</v>
      </c>
      <c r="AB140" s="50">
        <v>-5971</v>
      </c>
      <c r="AC140" s="55" t="s">
        <v>18</v>
      </c>
      <c r="AD140" s="60">
        <v>2270</v>
      </c>
      <c r="AG140" s="54" t="s">
        <v>12</v>
      </c>
      <c r="AH140" s="50">
        <v>-16654</v>
      </c>
      <c r="AI140" s="55" t="s">
        <v>18</v>
      </c>
      <c r="AJ140" s="60">
        <v>44.02</v>
      </c>
    </row>
    <row r="141" spans="2:42">
      <c r="U141" s="52" t="s">
        <v>13</v>
      </c>
      <c r="V141" s="41">
        <f>X140*X141</f>
        <v>14283.150000000001</v>
      </c>
      <c r="W141" s="56" t="s">
        <v>17</v>
      </c>
      <c r="X141" s="38">
        <v>1115</v>
      </c>
      <c r="AA141" s="52" t="s">
        <v>13</v>
      </c>
      <c r="AB141" s="41">
        <f>AD140*AD141</f>
        <v>31030.9</v>
      </c>
      <c r="AC141" s="56" t="s">
        <v>17</v>
      </c>
      <c r="AD141" s="38">
        <v>13.67</v>
      </c>
      <c r="AG141" s="52" t="s">
        <v>13</v>
      </c>
      <c r="AH141" s="41">
        <f>AJ140*AJ141</f>
        <v>127922.12000000001</v>
      </c>
      <c r="AI141" s="56" t="s">
        <v>17</v>
      </c>
      <c r="AJ141" s="38">
        <v>2906</v>
      </c>
    </row>
    <row r="142" spans="2:42">
      <c r="U142" s="52" t="s">
        <v>2</v>
      </c>
      <c r="V142" s="41">
        <f>V141+V140</f>
        <v>19043.150000000001</v>
      </c>
      <c r="W142" s="8"/>
      <c r="X142" s="38"/>
      <c r="AA142" s="52" t="s">
        <v>2</v>
      </c>
      <c r="AB142" s="41">
        <f>AB141+AB140</f>
        <v>25059.9</v>
      </c>
      <c r="AC142" s="8"/>
      <c r="AD142" s="38"/>
      <c r="AG142" s="52" t="s">
        <v>2</v>
      </c>
      <c r="AH142" s="41">
        <f>AH141+AH140</f>
        <v>111268.12000000001</v>
      </c>
      <c r="AI142" s="8"/>
      <c r="AJ142" s="38"/>
    </row>
    <row r="143" spans="2:42">
      <c r="U143" s="58"/>
      <c r="V143" s="8"/>
      <c r="W143" s="8"/>
      <c r="X143" s="38"/>
      <c r="AA143" s="58"/>
      <c r="AB143" s="8"/>
      <c r="AC143" s="8"/>
      <c r="AD143" s="38"/>
      <c r="AG143" s="58"/>
      <c r="AH143" s="8"/>
      <c r="AI143" s="8"/>
      <c r="AJ143" s="38"/>
    </row>
    <row r="144" spans="2:42">
      <c r="U144" s="53" t="s">
        <v>19</v>
      </c>
      <c r="V144" s="39">
        <f>(W144/X144)^(1/W139)/$A$4</f>
        <v>1.2073592389311414</v>
      </c>
      <c r="W144" s="41">
        <v>11907</v>
      </c>
      <c r="X144" s="42">
        <v>3927</v>
      </c>
      <c r="AA144" s="53" t="s">
        <v>19</v>
      </c>
      <c r="AB144" s="39">
        <f>(AC144/AD144)^(1/AC139)/$A$4</f>
        <v>0.91279337352714229</v>
      </c>
      <c r="AC144" s="41">
        <v>78683</v>
      </c>
      <c r="AD144" s="42">
        <v>79338</v>
      </c>
      <c r="AG144" s="53" t="s">
        <v>19</v>
      </c>
      <c r="AH144" s="39">
        <f>(AI144/AJ144)^(1/AI139)/$A$4</f>
        <v>0.92200150015395121</v>
      </c>
      <c r="AI144" s="41">
        <v>97818</v>
      </c>
      <c r="AJ144" s="42">
        <v>94863</v>
      </c>
    </row>
    <row r="145" spans="4:36">
      <c r="U145" s="53" t="s">
        <v>20</v>
      </c>
      <c r="V145" s="40">
        <f>V142/W144</f>
        <v>1.599323927101705</v>
      </c>
      <c r="W145" s="8"/>
      <c r="X145" s="38"/>
      <c r="AA145" s="53" t="s">
        <v>20</v>
      </c>
      <c r="AB145" s="40">
        <f>AB142/AC144</f>
        <v>0.31849192328711412</v>
      </c>
      <c r="AC145" s="8"/>
      <c r="AD145" s="38"/>
      <c r="AG145" s="53" t="s">
        <v>20</v>
      </c>
      <c r="AH145" s="40">
        <f>AH142/AI144</f>
        <v>1.1375014823447629</v>
      </c>
      <c r="AI145" s="8"/>
      <c r="AJ145" s="38"/>
    </row>
    <row r="146" spans="4:36">
      <c r="U146" s="56" t="s">
        <v>16</v>
      </c>
      <c r="V146" s="39">
        <f>U139*$A$10</f>
        <v>0.108</v>
      </c>
      <c r="W146" s="8"/>
      <c r="X146" s="40">
        <f>SUM(V147:X147)/3</f>
        <v>0.1593022626627181</v>
      </c>
      <c r="AA146" s="56" t="s">
        <v>16</v>
      </c>
      <c r="AB146" s="39">
        <f>AA139*$A$10</f>
        <v>0.72</v>
      </c>
      <c r="AC146" s="8"/>
      <c r="AD146" s="40">
        <f>SUM(AB147:AD147)/3</f>
        <v>0.60156408430717312</v>
      </c>
      <c r="AG146" s="56" t="s">
        <v>16</v>
      </c>
      <c r="AH146" s="39">
        <f>AG139*$A$10</f>
        <v>1.4</v>
      </c>
      <c r="AI146" s="8"/>
      <c r="AJ146" s="40">
        <f>SUM(AH147:AJ147)/3</f>
        <v>1.1927391187678993</v>
      </c>
    </row>
    <row r="147" spans="4:36">
      <c r="U147" s="52"/>
      <c r="V147" s="39">
        <f>V144*V146</f>
        <v>0.13039479780456326</v>
      </c>
      <c r="W147" s="39">
        <f>V147*V144</f>
        <v>0.15743336383789755</v>
      </c>
      <c r="X147" s="40">
        <f>W147*V144</f>
        <v>0.19007862634569347</v>
      </c>
      <c r="AA147" s="52"/>
      <c r="AB147" s="39">
        <f>AB144*AB146</f>
        <v>0.65721122893954242</v>
      </c>
      <c r="AC147" s="39">
        <f>AB147*AB144</f>
        <v>0.599898054783644</v>
      </c>
      <c r="AD147" s="40">
        <f>AC147*AB144</f>
        <v>0.54758296919833283</v>
      </c>
      <c r="AG147" s="52"/>
      <c r="AH147" s="39">
        <f>AH144*AH146</f>
        <v>1.2908021002155317</v>
      </c>
      <c r="AI147" s="39">
        <f>AH147*AH144</f>
        <v>1.1901214728005911</v>
      </c>
      <c r="AJ147" s="40">
        <f>AI147*AH144</f>
        <v>1.0972937832875749</v>
      </c>
    </row>
    <row r="148" spans="4:36">
      <c r="U148" s="52"/>
      <c r="V148" s="8"/>
      <c r="W148" s="8"/>
      <c r="X148" s="38"/>
      <c r="AA148" s="52"/>
      <c r="AB148" s="8"/>
      <c r="AC148" s="8"/>
      <c r="AD148" s="38"/>
      <c r="AG148" s="52"/>
      <c r="AH148" s="8"/>
      <c r="AI148" s="8"/>
      <c r="AJ148" s="38"/>
    </row>
    <row r="149" spans="4:36">
      <c r="U149" s="52"/>
      <c r="V149" s="45" t="s">
        <v>1</v>
      </c>
      <c r="W149" s="45" t="s">
        <v>6</v>
      </c>
      <c r="X149" s="46" t="s">
        <v>15</v>
      </c>
      <c r="AA149" s="52"/>
      <c r="AB149" s="45" t="s">
        <v>1</v>
      </c>
      <c r="AC149" s="45" t="s">
        <v>6</v>
      </c>
      <c r="AD149" s="46" t="s">
        <v>15</v>
      </c>
      <c r="AG149" s="52"/>
      <c r="AH149" s="45" t="s">
        <v>1</v>
      </c>
      <c r="AI149" s="45" t="s">
        <v>6</v>
      </c>
      <c r="AJ149" s="46" t="s">
        <v>15</v>
      </c>
    </row>
    <row r="150" spans="4:36">
      <c r="U150" s="57" t="s">
        <v>4</v>
      </c>
      <c r="V150" s="47">
        <f>V146/V145</f>
        <v>6.7528533882262126E-2</v>
      </c>
      <c r="W150" s="49">
        <f>X146/V145</f>
        <v>9.9606002238336849E-2</v>
      </c>
      <c r="X150" s="48">
        <f>X147/V145</f>
        <v>0.11884936073591669</v>
      </c>
      <c r="AA150" s="57" t="s">
        <v>4</v>
      </c>
      <c r="AB150" s="47">
        <f>AB146/AB145</f>
        <v>2.2606538733195265</v>
      </c>
      <c r="AC150" s="49">
        <f>AD146/AB145</f>
        <v>1.8887891350540627</v>
      </c>
      <c r="AD150" s="48">
        <f>AD147/AB145</f>
        <v>1.7192993892805806</v>
      </c>
      <c r="AG150" s="57" t="s">
        <v>4</v>
      </c>
      <c r="AH150" s="47">
        <f>AH146/AH145</f>
        <v>1.2307676268818055</v>
      </c>
      <c r="AI150" s="49">
        <f>AJ146/AH145</f>
        <v>1.0485604962107598</v>
      </c>
      <c r="AJ150" s="48">
        <f>AJ147/AH145</f>
        <v>0.96465261832071925</v>
      </c>
    </row>
    <row r="156" spans="4:36">
      <c r="D156" t="s">
        <v>44</v>
      </c>
    </row>
    <row r="158" spans="4:36">
      <c r="D158" t="s">
        <v>37</v>
      </c>
      <c r="E158" t="s">
        <v>38</v>
      </c>
      <c r="F158" t="s">
        <v>36</v>
      </c>
      <c r="G158" t="s">
        <v>39</v>
      </c>
    </row>
    <row r="159" spans="4:36">
      <c r="D159" t="s">
        <v>41</v>
      </c>
      <c r="E159" t="s">
        <v>38</v>
      </c>
      <c r="F159" t="s">
        <v>40</v>
      </c>
    </row>
    <row r="160" spans="4:36">
      <c r="D160" t="s">
        <v>42</v>
      </c>
      <c r="E160" s="29" t="s">
        <v>38</v>
      </c>
      <c r="F160" s="29" t="s">
        <v>36</v>
      </c>
      <c r="G160" t="s">
        <v>46</v>
      </c>
    </row>
    <row r="161" spans="3:9">
      <c r="D161" t="s">
        <v>45</v>
      </c>
      <c r="E161" s="29" t="s">
        <v>38</v>
      </c>
      <c r="F161" s="29" t="s">
        <v>36</v>
      </c>
      <c r="G161" s="29" t="s">
        <v>43</v>
      </c>
      <c r="H161" t="s">
        <v>47</v>
      </c>
      <c r="I161" t="s">
        <v>48</v>
      </c>
    </row>
    <row r="162" spans="3:9">
      <c r="D162" t="s">
        <v>49</v>
      </c>
      <c r="E162" t="s">
        <v>50</v>
      </c>
      <c r="F162" t="s">
        <v>51</v>
      </c>
      <c r="G162" t="s">
        <v>52</v>
      </c>
    </row>
    <row r="163" spans="3:9" ht="18.75">
      <c r="D163" s="64" t="s">
        <v>53</v>
      </c>
      <c r="E163" t="s">
        <v>54</v>
      </c>
      <c r="F163" t="s">
        <v>55</v>
      </c>
      <c r="G163" t="s">
        <v>38</v>
      </c>
      <c r="H163" t="s">
        <v>56</v>
      </c>
    </row>
    <row r="164" spans="3:9">
      <c r="D164" t="s">
        <v>57</v>
      </c>
      <c r="E164" t="s">
        <v>58</v>
      </c>
    </row>
    <row r="166" spans="3:9">
      <c r="D166" t="s">
        <v>59</v>
      </c>
      <c r="E166" t="s">
        <v>60</v>
      </c>
      <c r="F166" t="s">
        <v>61</v>
      </c>
      <c r="G166" t="s">
        <v>62</v>
      </c>
      <c r="H166" t="s">
        <v>63</v>
      </c>
      <c r="I166" t="s">
        <v>64</v>
      </c>
    </row>
    <row r="167" spans="3:9">
      <c r="D167" t="s">
        <v>116</v>
      </c>
      <c r="E167" t="s">
        <v>117</v>
      </c>
      <c r="F167" t="s">
        <v>118</v>
      </c>
    </row>
    <row r="171" spans="3:9">
      <c r="D171" s="65"/>
      <c r="E171" s="65"/>
    </row>
    <row r="172" spans="3:9">
      <c r="D172" s="65"/>
      <c r="E172" s="65"/>
      <c r="G172" s="29"/>
    </row>
    <row r="173" spans="3:9">
      <c r="D173" s="44">
        <v>2020</v>
      </c>
      <c r="E173" s="44">
        <v>2021</v>
      </c>
      <c r="F173" s="44">
        <v>2022</v>
      </c>
      <c r="G173" s="44">
        <v>2023</v>
      </c>
      <c r="H173" s="44">
        <v>2024</v>
      </c>
    </row>
    <row r="174" spans="3:9">
      <c r="D174" s="65">
        <v>2.34</v>
      </c>
      <c r="E174" s="65">
        <v>5.04E-2</v>
      </c>
      <c r="F174" s="29">
        <v>1.0331999999999999</v>
      </c>
      <c r="G174" s="29">
        <v>1.99</v>
      </c>
      <c r="H174" s="29">
        <v>7.03</v>
      </c>
    </row>
    <row r="175" spans="3:9">
      <c r="C175" t="s">
        <v>65</v>
      </c>
      <c r="D175" s="65">
        <v>0.84</v>
      </c>
      <c r="E175" s="65"/>
      <c r="F175" s="29">
        <v>0.47</v>
      </c>
      <c r="G175" s="29">
        <v>0.6</v>
      </c>
      <c r="H175" s="29"/>
    </row>
    <row r="176" spans="3:9">
      <c r="C176" t="s">
        <v>11</v>
      </c>
      <c r="D176" s="65"/>
      <c r="E176" s="65"/>
      <c r="G176" s="29">
        <v>4.54</v>
      </c>
    </row>
    <row r="177" spans="2:10" ht="15.75" thickBot="1">
      <c r="C177" s="29"/>
      <c r="D177" s="29"/>
      <c r="E177" s="29"/>
      <c r="F177" s="8"/>
      <c r="G177" s="8"/>
      <c r="H177" s="8"/>
      <c r="I177" s="8"/>
      <c r="J177" s="8"/>
    </row>
    <row r="178" spans="2:10" ht="15.75" thickBot="1">
      <c r="C178" s="12"/>
      <c r="D178" s="12"/>
      <c r="E178" s="12"/>
      <c r="F178" s="12"/>
    </row>
    <row r="179" spans="2:10">
      <c r="B179" s="10"/>
    </row>
    <row r="180" spans="2:10" ht="17.25">
      <c r="B180" s="13"/>
    </row>
    <row r="181" spans="2:10" ht="15.75" thickBot="1"/>
    <row r="182" spans="2:10" ht="15.75" thickBot="1">
      <c r="C182" s="12"/>
      <c r="D182" s="12"/>
      <c r="E182" s="12"/>
      <c r="F182" s="12"/>
    </row>
    <row r="183" spans="2:10" ht="15.75" thickBot="1">
      <c r="C183" s="12"/>
      <c r="D183" s="12"/>
      <c r="E183" s="12"/>
      <c r="F183" s="12"/>
    </row>
    <row r="184" spans="2:10" ht="15.75" thickBot="1">
      <c r="C184" s="12"/>
      <c r="D184" s="12"/>
      <c r="E184" s="12"/>
      <c r="F184" s="12"/>
    </row>
    <row r="185" spans="2:10" ht="15.75" thickBot="1">
      <c r="C185" s="12"/>
      <c r="D185" s="12"/>
      <c r="E185" s="12"/>
      <c r="F185" s="12"/>
    </row>
    <row r="186" spans="2:10" ht="15.75" thickBot="1">
      <c r="C186" s="12"/>
      <c r="D186" s="12"/>
      <c r="E186" s="12"/>
      <c r="F186" s="12"/>
    </row>
    <row r="187" spans="2:10" ht="15.75" thickBot="1">
      <c r="C187" s="12"/>
      <c r="D187" s="12"/>
      <c r="E187" s="12"/>
      <c r="F187" s="12"/>
    </row>
    <row r="188" spans="2:10" ht="15.75" thickBot="1">
      <c r="C188" s="12"/>
      <c r="D188" s="12"/>
      <c r="E188" s="12"/>
      <c r="F188" s="12"/>
    </row>
    <row r="189" spans="2:10">
      <c r="C189" s="10"/>
    </row>
    <row r="190" spans="2:10" ht="22.5">
      <c r="C190" s="11"/>
    </row>
    <row r="191" spans="2:10">
      <c r="C191" s="10"/>
    </row>
    <row r="192" spans="2:10" ht="17.25">
      <c r="C192" s="13"/>
    </row>
    <row r="193" spans="3:6" ht="15.75" thickBot="1"/>
    <row r="194" spans="3:6" ht="15.75" thickBot="1">
      <c r="C194" s="12"/>
      <c r="D194" s="12"/>
      <c r="E194" s="12"/>
      <c r="F194" s="12"/>
    </row>
    <row r="195" spans="3:6" ht="15.75" thickBot="1">
      <c r="C195" s="12"/>
      <c r="D195" s="12"/>
      <c r="E195" s="12"/>
      <c r="F195" s="12"/>
    </row>
    <row r="196" spans="3:6" ht="15.75" thickBot="1">
      <c r="C196" s="12"/>
      <c r="D196" s="12"/>
      <c r="E196" s="12"/>
      <c r="F196" s="12"/>
    </row>
    <row r="197" spans="3:6" ht="15.75" thickBot="1">
      <c r="C197" s="12"/>
      <c r="D197" s="12"/>
      <c r="E197" s="12"/>
      <c r="F197" s="12"/>
    </row>
    <row r="198" spans="3:6" ht="15.75" thickBot="1">
      <c r="C198" s="12"/>
      <c r="D198" s="12"/>
      <c r="E198" s="12"/>
      <c r="F198" s="12"/>
    </row>
    <row r="199" spans="3:6">
      <c r="C199" s="10"/>
    </row>
    <row r="200" spans="3:6" ht="17.25">
      <c r="C200" s="13"/>
    </row>
    <row r="201" spans="3:6" ht="15.75" thickBot="1"/>
    <row r="202" spans="3:6" ht="15.75" thickBot="1">
      <c r="C202" s="12"/>
      <c r="D202" s="12"/>
      <c r="E202" s="12"/>
      <c r="F202" s="12"/>
    </row>
    <row r="203" spans="3:6">
      <c r="C203" s="10"/>
    </row>
    <row r="204" spans="3:6" ht="22.5">
      <c r="C204" s="11"/>
    </row>
    <row r="205" spans="3:6" ht="15.75" thickBot="1"/>
    <row r="206" spans="3:6" ht="15.75" thickBot="1">
      <c r="C206" s="12"/>
      <c r="D206" s="12"/>
      <c r="E206" s="12"/>
      <c r="F206" s="12"/>
    </row>
    <row r="207" spans="3:6" ht="15.75" thickBot="1">
      <c r="C207" s="12"/>
      <c r="D207" s="12"/>
      <c r="E207" s="12"/>
      <c r="F207" s="12"/>
    </row>
    <row r="208" spans="3:6" ht="15.75" thickBot="1">
      <c r="C208" s="12"/>
      <c r="D208" s="12"/>
      <c r="E208" s="12"/>
      <c r="F208" s="12"/>
    </row>
    <row r="209" spans="3:6">
      <c r="C209" s="10"/>
    </row>
    <row r="210" spans="3:6" ht="17.25">
      <c r="C210" s="13"/>
    </row>
    <row r="211" spans="3:6" ht="15.75" thickBot="1"/>
    <row r="212" spans="3:6" ht="15.75" thickBot="1">
      <c r="C212" s="12"/>
      <c r="D212" s="12"/>
      <c r="E212" s="12"/>
      <c r="F212" s="12"/>
    </row>
    <row r="213" spans="3:6" ht="15.75" thickBot="1">
      <c r="C213" s="12"/>
      <c r="D213" s="12"/>
      <c r="E213" s="12"/>
      <c r="F213" s="12"/>
    </row>
    <row r="214" spans="3:6" ht="15.75" thickBot="1">
      <c r="C214" s="12"/>
      <c r="D214" s="12"/>
      <c r="E214" s="12"/>
      <c r="F214" s="12"/>
    </row>
    <row r="215" spans="3:6" ht="15.75" thickBot="1">
      <c r="C215" s="12"/>
      <c r="D215" s="12"/>
      <c r="E215" s="12"/>
      <c r="F215" s="12"/>
    </row>
    <row r="216" spans="3:6" ht="15.75" thickBot="1">
      <c r="C216" s="12"/>
      <c r="D216" s="12"/>
      <c r="E216" s="12"/>
      <c r="F216" s="12"/>
    </row>
    <row r="217" spans="3:6" ht="15.75" thickBot="1">
      <c r="C217" s="12"/>
      <c r="D217" s="12"/>
      <c r="E217" s="12"/>
      <c r="F217" s="12"/>
    </row>
    <row r="218" spans="3:6" ht="15.75" thickBot="1">
      <c r="C218" s="12"/>
      <c r="D218" s="12"/>
      <c r="E218" s="12"/>
      <c r="F218" s="12"/>
    </row>
    <row r="219" spans="3:6" ht="15.75" thickBot="1">
      <c r="C219" s="12"/>
      <c r="D219" s="12"/>
      <c r="E219" s="12"/>
      <c r="F219" s="12"/>
    </row>
    <row r="220" spans="3:6" ht="15.75" thickBot="1">
      <c r="C220" s="12"/>
      <c r="D220" s="12"/>
      <c r="E220" s="12"/>
      <c r="F220" s="14"/>
    </row>
    <row r="221" spans="3:6" ht="15.75" thickBot="1">
      <c r="C221" s="12"/>
      <c r="D221" s="12"/>
      <c r="E221" s="15"/>
      <c r="F221" s="12"/>
    </row>
    <row r="222" spans="3:6" ht="15.75" thickBot="1">
      <c r="C222" s="12"/>
      <c r="D222" s="12"/>
      <c r="E222" s="12"/>
      <c r="F222" s="12"/>
    </row>
    <row r="223" spans="3:6" ht="15.75" thickBot="1">
      <c r="C223" s="12"/>
      <c r="D223" s="12"/>
      <c r="E223" s="12"/>
      <c r="F223" s="12"/>
    </row>
    <row r="224" spans="3:6" ht="15.75" thickBot="1">
      <c r="C224" s="12"/>
      <c r="D224" s="12"/>
      <c r="E224" s="12"/>
      <c r="F224" s="12"/>
    </row>
    <row r="225" spans="3:6" ht="15.75" thickBot="1">
      <c r="C225" s="12"/>
      <c r="D225" s="12"/>
      <c r="E225" s="12"/>
      <c r="F225" s="12"/>
    </row>
    <row r="226" spans="3:6" ht="15.75" thickBot="1">
      <c r="C226" s="12"/>
      <c r="D226" s="12"/>
      <c r="E226" s="12"/>
      <c r="F226" s="12"/>
    </row>
    <row r="227" spans="3:6" ht="15.75" thickBot="1">
      <c r="C227" s="12"/>
      <c r="D227" s="12"/>
      <c r="E227" s="12"/>
      <c r="F227" s="12"/>
    </row>
    <row r="228" spans="3:6">
      <c r="C228" s="10"/>
    </row>
    <row r="229" spans="3:6" ht="17.25">
      <c r="C229" s="13"/>
    </row>
    <row r="230" spans="3:6" ht="15.75" thickBot="1"/>
    <row r="231" spans="3:6" ht="15.75" thickBot="1">
      <c r="C231" s="12"/>
      <c r="D231" s="12"/>
      <c r="E231" s="12"/>
      <c r="F231" s="12"/>
    </row>
    <row r="232" spans="3:6" ht="15.75" thickBot="1">
      <c r="C232" s="12"/>
      <c r="D232" s="12"/>
      <c r="E232" s="12"/>
      <c r="F232" s="12"/>
    </row>
    <row r="233" spans="3:6" ht="15.75" thickBot="1">
      <c r="C233" s="12"/>
      <c r="D233" s="12"/>
      <c r="E233" s="12"/>
      <c r="F233" s="12"/>
    </row>
    <row r="234" spans="3:6" ht="15.75" thickBot="1">
      <c r="C234" s="12"/>
      <c r="D234" s="12"/>
      <c r="E234" s="12"/>
      <c r="F234" s="12"/>
    </row>
    <row r="235" spans="3:6" ht="15.75" thickBot="1">
      <c r="C235" s="12"/>
      <c r="D235" s="12"/>
      <c r="E235" s="12"/>
      <c r="F235" s="12"/>
    </row>
    <row r="236" spans="3:6" ht="15.75" thickBot="1">
      <c r="C236" s="12"/>
      <c r="D236" s="12"/>
      <c r="E236" s="12"/>
      <c r="F236" s="12"/>
    </row>
    <row r="237" spans="3:6" ht="15.75" thickBot="1">
      <c r="C237" s="12"/>
      <c r="D237" s="12"/>
      <c r="E237" s="12"/>
      <c r="F237" s="12"/>
    </row>
    <row r="238" spans="3:6" ht="15.75" thickBot="1">
      <c r="C238" s="12"/>
      <c r="D238" s="12"/>
      <c r="E238" s="12"/>
      <c r="F238" s="12"/>
    </row>
    <row r="239" spans="3:6" ht="15.75" thickBot="1">
      <c r="C239" s="12"/>
      <c r="D239" s="12"/>
      <c r="E239" s="12"/>
      <c r="F239" s="12"/>
    </row>
    <row r="240" spans="3:6" ht="15.75" thickBot="1">
      <c r="C240" s="12"/>
      <c r="D240" s="12"/>
      <c r="E240" s="12"/>
      <c r="F240" s="12"/>
    </row>
    <row r="241" spans="3:6" ht="15.75" thickBot="1">
      <c r="C241" s="12"/>
      <c r="D241" s="12"/>
      <c r="E241" s="12"/>
      <c r="F241" s="12"/>
    </row>
    <row r="242" spans="3:6" ht="15.75" thickBot="1">
      <c r="C242" s="12"/>
      <c r="D242" s="12"/>
      <c r="E242" s="12"/>
      <c r="F242" s="12"/>
    </row>
    <row r="243" spans="3:6" ht="15.75" thickBot="1">
      <c r="C243" s="12"/>
      <c r="D243" s="12"/>
      <c r="E243" s="12"/>
      <c r="F243" s="12"/>
    </row>
    <row r="244" spans="3:6" ht="15.75" thickBot="1">
      <c r="C244" s="12"/>
      <c r="D244" s="12"/>
      <c r="E244" s="12"/>
      <c r="F244" s="12"/>
    </row>
    <row r="245" spans="3:6" ht="15.75" thickBot="1">
      <c r="C245" s="12"/>
      <c r="D245" s="12"/>
      <c r="E245" s="12"/>
      <c r="F245" s="12"/>
    </row>
    <row r="246" spans="3:6" ht="15.75" thickBot="1">
      <c r="C246" s="12"/>
      <c r="D246" s="12"/>
      <c r="E246" s="12"/>
      <c r="F246" s="12"/>
    </row>
    <row r="247" spans="3:6" ht="15.75" thickBot="1">
      <c r="C247" s="12"/>
      <c r="D247" s="12"/>
      <c r="E247" s="12"/>
      <c r="F247" s="12"/>
    </row>
    <row r="248" spans="3:6" ht="15.75" thickBot="1">
      <c r="C248" s="12"/>
      <c r="D248" s="12"/>
      <c r="E248" s="12"/>
      <c r="F248" s="12"/>
    </row>
    <row r="249" spans="3:6" ht="15.75" thickBot="1">
      <c r="C249" s="12"/>
      <c r="D249" s="12"/>
      <c r="E249" s="12"/>
      <c r="F249" s="12"/>
    </row>
    <row r="250" spans="3:6" ht="15.75" thickBot="1">
      <c r="C250" s="12"/>
      <c r="D250" s="12"/>
      <c r="E250" s="12"/>
      <c r="F250" s="12"/>
    </row>
    <row r="251" spans="3:6" ht="15.75" thickBot="1">
      <c r="C251" s="12"/>
      <c r="D251" s="12"/>
      <c r="E251" s="12"/>
      <c r="F251" s="12"/>
    </row>
    <row r="252" spans="3:6" ht="15.75" thickBot="1">
      <c r="C252" s="12"/>
      <c r="D252" s="12"/>
      <c r="E252" s="12"/>
      <c r="F252" s="12"/>
    </row>
    <row r="253" spans="3:6" ht="15.75" thickBot="1">
      <c r="C253" s="12"/>
      <c r="D253" s="12"/>
      <c r="E253" s="12"/>
      <c r="F253" s="12"/>
    </row>
    <row r="254" spans="3:6" ht="15.75" thickBot="1">
      <c r="C254" s="12"/>
      <c r="D254" s="12"/>
      <c r="E254" s="12"/>
      <c r="F254" s="12"/>
    </row>
    <row r="255" spans="3:6" ht="15.75" thickBot="1">
      <c r="C255" s="12"/>
      <c r="D255" s="12"/>
      <c r="E255" s="12"/>
      <c r="F255" s="12"/>
    </row>
    <row r="256" spans="3:6" ht="15.75" thickBot="1">
      <c r="C256" s="12"/>
      <c r="D256" s="12"/>
      <c r="E256" s="12"/>
      <c r="F256" s="12"/>
    </row>
    <row r="257" spans="3:6" ht="15.75" thickBot="1">
      <c r="C257" s="12"/>
      <c r="D257" s="12"/>
      <c r="E257" s="12"/>
      <c r="F257" s="12"/>
    </row>
    <row r="258" spans="3:6" ht="15.75" thickBot="1">
      <c r="C258" s="12"/>
      <c r="D258" s="12"/>
      <c r="E258" s="12"/>
      <c r="F258" s="12"/>
    </row>
    <row r="259" spans="3:6" ht="15.75" thickBot="1">
      <c r="C259" s="12"/>
      <c r="D259" s="12"/>
      <c r="E259" s="12"/>
      <c r="F259" s="12"/>
    </row>
    <row r="260" spans="3:6" ht="15.75" thickBot="1">
      <c r="C260" s="12"/>
      <c r="D260" s="12"/>
      <c r="E260" s="12"/>
      <c r="F260" s="12"/>
    </row>
    <row r="261" spans="3:6" ht="15.75" thickBot="1">
      <c r="C261" s="12"/>
      <c r="D261" s="12"/>
      <c r="E261" s="12"/>
      <c r="F261" s="12"/>
    </row>
    <row r="262" spans="3:6" ht="15.75" thickBot="1">
      <c r="C262" s="12"/>
      <c r="D262" s="12"/>
      <c r="E262" s="12"/>
      <c r="F262" s="12"/>
    </row>
    <row r="263" spans="3:6" ht="15.75" thickBot="1">
      <c r="C263" s="12"/>
      <c r="D263" s="12"/>
      <c r="E263" s="12"/>
      <c r="F263" s="12"/>
    </row>
    <row r="264" spans="3:6">
      <c r="C264" s="10"/>
    </row>
    <row r="265" spans="3:6" ht="17.25">
      <c r="C265" s="13"/>
    </row>
    <row r="266" spans="3:6" ht="15.75" thickBot="1"/>
    <row r="267" spans="3:6" ht="15.75" thickBot="1">
      <c r="C267" s="12"/>
      <c r="D267" s="12"/>
      <c r="E267" s="12"/>
      <c r="F267" s="12" t="s">
        <v>7</v>
      </c>
    </row>
    <row r="268" spans="3:6" ht="15.75" thickBot="1">
      <c r="C268" s="12"/>
      <c r="D268" s="12"/>
      <c r="E268" s="12"/>
      <c r="F268" s="12" t="s">
        <v>7</v>
      </c>
    </row>
    <row r="269" spans="3:6" ht="15.75" thickBot="1">
      <c r="C269" s="12"/>
      <c r="D269" s="12"/>
      <c r="E269" s="12"/>
      <c r="F269" s="12" t="s">
        <v>7</v>
      </c>
    </row>
    <row r="270" spans="3:6" ht="15.75" thickBot="1">
      <c r="C270" s="12"/>
      <c r="D270" s="12"/>
      <c r="E270" s="12"/>
      <c r="F270" s="12" t="s">
        <v>7</v>
      </c>
    </row>
    <row r="271" spans="3:6">
      <c r="C271" s="10"/>
    </row>
    <row r="272" spans="3:6" ht="17.25">
      <c r="C272" s="13"/>
    </row>
    <row r="273" spans="3:6" ht="15.75" thickBot="1"/>
    <row r="274" spans="3:6" ht="15.75" thickBot="1">
      <c r="C274" s="12"/>
      <c r="D274" s="12"/>
      <c r="E274" s="12"/>
      <c r="F274" s="12" t="s">
        <v>8</v>
      </c>
    </row>
    <row r="275" spans="3:6" ht="15.75" thickBot="1">
      <c r="C275" s="12"/>
      <c r="D275" s="12"/>
      <c r="E275" s="12"/>
      <c r="F275" s="12" t="s">
        <v>8</v>
      </c>
    </row>
    <row r="276" spans="3:6">
      <c r="C276" s="10"/>
    </row>
    <row r="277" spans="3:6" ht="22.5">
      <c r="C277" s="11"/>
    </row>
    <row r="278" spans="3:6">
      <c r="C278" s="10"/>
    </row>
    <row r="279" spans="3:6" ht="17.25">
      <c r="C279" s="13"/>
    </row>
    <row r="280" spans="3:6" ht="15.75" thickBot="1"/>
    <row r="281" spans="3:6" ht="15.75" thickBot="1">
      <c r="C281" s="12"/>
      <c r="D281" s="12"/>
      <c r="E281" s="12"/>
      <c r="F281" s="12" t="s">
        <v>9</v>
      </c>
    </row>
    <row r="282" spans="3:6">
      <c r="C282" s="10"/>
    </row>
    <row r="283" spans="3:6" ht="17.25">
      <c r="C283" s="13"/>
    </row>
    <row r="284" spans="3:6" ht="15.75" thickBot="1"/>
    <row r="285" spans="3:6" ht="15.75" thickBot="1">
      <c r="C285" s="12"/>
      <c r="D285" s="12"/>
      <c r="E285" s="12"/>
      <c r="F285" s="12" t="s">
        <v>10</v>
      </c>
    </row>
    <row r="287" spans="3:6" ht="18.75">
      <c r="C287" s="16"/>
    </row>
    <row r="289" spans="3:5" ht="18.75">
      <c r="C289" s="17"/>
    </row>
    <row r="290" spans="3:5">
      <c r="E290" s="2"/>
    </row>
    <row r="291" spans="3:5">
      <c r="E291" s="2"/>
    </row>
    <row r="292" spans="3:5">
      <c r="E292" s="2"/>
    </row>
    <row r="293" spans="3:5">
      <c r="E293" s="3"/>
    </row>
    <row r="294" spans="3:5">
      <c r="E294" s="3"/>
    </row>
    <row r="295" spans="3:5">
      <c r="E295" s="2"/>
    </row>
    <row r="296" spans="3:5">
      <c r="E296" s="5"/>
    </row>
    <row r="297" spans="3:5">
      <c r="E297" s="1"/>
    </row>
    <row r="298" spans="3:5">
      <c r="E298" s="2"/>
    </row>
    <row r="299" spans="3:5">
      <c r="E299" s="4"/>
    </row>
    <row r="300" spans="3:5">
      <c r="E300" s="2"/>
    </row>
    <row r="301" spans="3:5">
      <c r="E301" s="2"/>
    </row>
    <row r="302" spans="3:5">
      <c r="E302" s="2"/>
    </row>
    <row r="303" spans="3:5">
      <c r="E303" s="3"/>
    </row>
    <row r="304" spans="3:5">
      <c r="E304" s="3"/>
    </row>
    <row r="305" spans="5:5">
      <c r="E305" s="2"/>
    </row>
    <row r="306" spans="5:5">
      <c r="E306" s="5"/>
    </row>
  </sheetData>
  <mergeCells count="2">
    <mergeCell ref="S88:S89"/>
    <mergeCell ref="M73:M74"/>
  </mergeCells>
  <conditionalFormatting sqref="G1:G10 I1:I10 K1:K10 M1:M10 O1:O10 Q1:Q10">
    <cfRule type="colorScale" priority="2">
      <colorScale>
        <cfvo type="min"/>
        <cfvo type="max"/>
        <color rgb="FFFCFCFF"/>
        <color rgb="FFF8696B"/>
      </colorScale>
    </cfRule>
  </conditionalFormatting>
  <conditionalFormatting sqref="H1:H10 J1:J10 L1:L10 N1:N10 P1:P10 R1:R10">
    <cfRule type="colorScale" priority="1">
      <colorScale>
        <cfvo type="min"/>
        <cfvo type="max"/>
        <color rgb="FFFCFCFF"/>
        <color rgb="FF63BE7B"/>
      </colorScale>
    </cfRule>
  </conditionalFormatting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2025-04-30T14:08:01Z</dcterms:modified>
</cp:coreProperties>
</file>